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ttps://energexenergyexperts.sharepoint.com/sites/teams/Juhtimine/Arendus/Toetusmeetmed/Varustuskindluse toetus/Pöördumine MKMi 2025/"/>
    </mc:Choice>
  </mc:AlternateContent>
  <xr:revisionPtr revIDLastSave="935" documentId="8_{1D60739E-1F54-4B63-A25E-973A27FD4676}" xr6:coauthVersionLast="47" xr6:coauthVersionMax="47" xr10:uidLastSave="{2F6A0687-DEEB-4901-91CF-CA902A51EC18}"/>
  <bookViews>
    <workbookView xWindow="28680" yWindow="-2475" windowWidth="51840" windowHeight="21120" tabRatio="822" xr2:uid="{00000000-000D-0000-FFFF-FFFF00000000}"/>
  </bookViews>
  <sheets>
    <sheet name="Kokkuvõte" sheetId="8" r:id="rId1"/>
    <sheet name="Antud abi (kuud)" sheetId="9" r:id="rId2"/>
    <sheet name="Keskmine toetus (kuud)" sheetId="10" r:id="rId3"/>
    <sheet name="Toetatud projektid (kuud)" sheetId="11" r:id="rId4"/>
    <sheet name="Energiatoodang" sheetId="13" r:id="rId5"/>
    <sheet name="RTK andmebaas" sheetId="1" r:id="rId6"/>
    <sheet name="EIS andmebaas" sheetId="3" r:id="rId7"/>
  </sheets>
  <calcPr calcId="191029"/>
  <pivotCaches>
    <pivotCache cacheId="5" r:id="rId8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4" i="13" l="1"/>
  <c r="S44" i="13"/>
  <c r="T44" i="13"/>
  <c r="U44" i="13"/>
  <c r="V44" i="13"/>
  <c r="W44" i="13"/>
  <c r="B12" i="8" s="1"/>
  <c r="X44" i="13"/>
  <c r="Y44" i="13"/>
  <c r="Z44" i="13"/>
  <c r="AA44" i="13"/>
  <c r="AB44" i="13"/>
  <c r="AC44" i="13"/>
  <c r="AD44" i="13"/>
  <c r="AE44" i="13"/>
  <c r="AF44" i="13"/>
  <c r="AG44" i="13"/>
  <c r="AH44" i="13"/>
  <c r="AI44" i="13"/>
  <c r="AJ44" i="13"/>
  <c r="AJ34" i="13"/>
  <c r="AJ35" i="13"/>
  <c r="AJ36" i="13"/>
  <c r="AJ37" i="13"/>
  <c r="AJ38" i="13"/>
  <c r="AJ39" i="13"/>
  <c r="AJ40" i="13"/>
  <c r="AJ41" i="13"/>
  <c r="AJ42" i="13"/>
  <c r="AJ43" i="13"/>
  <c r="AI35" i="13"/>
  <c r="AI36" i="13"/>
  <c r="AI37" i="13"/>
  <c r="AI38" i="13"/>
  <c r="AI39" i="13"/>
  <c r="AI40" i="13"/>
  <c r="AI41" i="13"/>
  <c r="AI42" i="13"/>
  <c r="AI43" i="13"/>
  <c r="AI34" i="13"/>
  <c r="AI31" i="13"/>
  <c r="AF16" i="13"/>
  <c r="AG16" i="13" s="1"/>
  <c r="AF17" i="13"/>
  <c r="AG17" i="13" s="1"/>
  <c r="AF20" i="13"/>
  <c r="AG20" i="13" s="1"/>
  <c r="AF21" i="13"/>
  <c r="AG21" i="13" s="1"/>
  <c r="AF22" i="13"/>
  <c r="AG22" i="13" s="1"/>
  <c r="AF23" i="13"/>
  <c r="AG23" i="13" s="1"/>
  <c r="AF24" i="13"/>
  <c r="AG24" i="13" s="1"/>
  <c r="AF25" i="13"/>
  <c r="AG25" i="13" s="1"/>
  <c r="AF26" i="13"/>
  <c r="AG26" i="13" s="1"/>
  <c r="AF27" i="13"/>
  <c r="AG27" i="13" s="1"/>
  <c r="AF28" i="13"/>
  <c r="AG28" i="13" s="1"/>
  <c r="AF30" i="13"/>
  <c r="AG30" i="13" s="1"/>
  <c r="AF31" i="13"/>
  <c r="AG31" i="13" s="1"/>
  <c r="AF32" i="13"/>
  <c r="AG32" i="13" s="1"/>
  <c r="AF33" i="13"/>
  <c r="AG33" i="13" s="1"/>
  <c r="AF15" i="13"/>
  <c r="AG15" i="13" s="1"/>
  <c r="AJ3" i="13"/>
  <c r="AJ4" i="13"/>
  <c r="AJ5" i="13"/>
  <c r="AJ6" i="13"/>
  <c r="AJ7" i="13"/>
  <c r="AJ8" i="13"/>
  <c r="AJ9" i="13"/>
  <c r="AJ10" i="13"/>
  <c r="AJ11" i="13"/>
  <c r="AJ12" i="13"/>
  <c r="AJ13" i="13"/>
  <c r="AJ14" i="13"/>
  <c r="AJ15" i="13"/>
  <c r="AJ16" i="13"/>
  <c r="AJ17" i="13"/>
  <c r="AJ18" i="13"/>
  <c r="AJ19" i="13"/>
  <c r="AJ29" i="13"/>
  <c r="AJ30" i="13"/>
  <c r="AJ31" i="13"/>
  <c r="AJ32" i="13"/>
  <c r="AJ33" i="13"/>
  <c r="AJ2" i="13"/>
  <c r="AI3" i="13"/>
  <c r="AI4" i="13"/>
  <c r="AI5" i="13"/>
  <c r="AI6" i="13"/>
  <c r="AI7" i="13"/>
  <c r="AI8" i="13"/>
  <c r="AI9" i="13"/>
  <c r="AI10" i="13"/>
  <c r="AI11" i="13"/>
  <c r="AI12" i="13"/>
  <c r="AI13" i="13"/>
  <c r="AI14" i="13"/>
  <c r="AI18" i="13"/>
  <c r="AI19" i="13"/>
  <c r="AI23" i="13"/>
  <c r="AI29" i="13"/>
  <c r="AI30" i="13"/>
  <c r="AI32" i="13"/>
  <c r="AI33" i="13"/>
  <c r="AI2" i="13"/>
  <c r="AE15" i="13"/>
  <c r="AE16" i="13"/>
  <c r="AE17" i="13"/>
  <c r="AA31" i="13"/>
  <c r="AD31" i="13" s="1"/>
  <c r="AD33" i="13"/>
  <c r="AE33" i="13"/>
  <c r="AE30" i="13"/>
  <c r="AE31" i="13"/>
  <c r="AE32" i="13"/>
  <c r="AD30" i="13"/>
  <c r="AD32" i="13"/>
  <c r="AA21" i="13"/>
  <c r="AD21" i="13" s="1"/>
  <c r="AB21" i="13"/>
  <c r="AE21" i="13" s="1"/>
  <c r="AA22" i="13"/>
  <c r="AD22" i="13" s="1"/>
  <c r="AB22" i="13"/>
  <c r="AE22" i="13" s="1"/>
  <c r="AA23" i="13"/>
  <c r="AD23" i="13" s="1"/>
  <c r="AB23" i="13"/>
  <c r="AE23" i="13" s="1"/>
  <c r="AA24" i="13"/>
  <c r="AI24" i="13" s="1"/>
  <c r="AB24" i="13"/>
  <c r="AE24" i="13" s="1"/>
  <c r="AA25" i="13"/>
  <c r="AI25" i="13" s="1"/>
  <c r="AB25" i="13"/>
  <c r="AJ25" i="13" s="1"/>
  <c r="AA26" i="13"/>
  <c r="AI26" i="13" s="1"/>
  <c r="AB26" i="13"/>
  <c r="AE26" i="13" s="1"/>
  <c r="AA27" i="13"/>
  <c r="AD27" i="13" s="1"/>
  <c r="AA28" i="13"/>
  <c r="AD28" i="13" s="1"/>
  <c r="AB28" i="13"/>
  <c r="AE28" i="13" s="1"/>
  <c r="AA20" i="13"/>
  <c r="AD20" i="13" s="1"/>
  <c r="AB20" i="13"/>
  <c r="AE20" i="13" s="1"/>
  <c r="AA17" i="13"/>
  <c r="AD17" i="13" s="1"/>
  <c r="AA16" i="13"/>
  <c r="AI16" i="13" s="1"/>
  <c r="AA15" i="13"/>
  <c r="AD15" i="13" s="1"/>
  <c r="AD24" i="13" l="1"/>
  <c r="AI28" i="13"/>
  <c r="AI22" i="13"/>
  <c r="AI21" i="13"/>
  <c r="AJ28" i="13"/>
  <c r="AD16" i="13"/>
  <c r="AI15" i="13"/>
  <c r="AD25" i="13"/>
  <c r="AE25" i="13"/>
  <c r="AI20" i="13"/>
  <c r="AJ24" i="13"/>
  <c r="AD26" i="13"/>
  <c r="AJ26" i="13"/>
  <c r="AJ22" i="13"/>
  <c r="AI27" i="13"/>
  <c r="AJ23" i="13"/>
  <c r="AI17" i="13"/>
  <c r="AJ21" i="13"/>
  <c r="AJ20" i="13"/>
  <c r="AC29" i="13"/>
  <c r="AF29" i="13" s="1"/>
  <c r="AG29" i="13" s="1"/>
  <c r="O29" i="13"/>
  <c r="O30" i="13"/>
  <c r="O31" i="13"/>
  <c r="O32" i="13"/>
  <c r="O33" i="13"/>
  <c r="P29" i="13"/>
  <c r="P30" i="13"/>
  <c r="P31" i="13"/>
  <c r="P32" i="13"/>
  <c r="P33" i="13"/>
  <c r="I9" i="8" l="1"/>
  <c r="I13" i="8" s="1"/>
  <c r="F9" i="8"/>
  <c r="F11" i="8"/>
  <c r="F12" i="8" s="1"/>
  <c r="F14" i="8" s="1"/>
  <c r="AD29" i="13"/>
  <c r="AE29" i="13"/>
  <c r="B5" i="8"/>
  <c r="C4" i="8"/>
  <c r="C3" i="8"/>
  <c r="T28" i="13"/>
  <c r="P28" i="13"/>
  <c r="O28" i="13"/>
  <c r="W27" i="13"/>
  <c r="V27" i="13"/>
  <c r="U27" i="13"/>
  <c r="P27" i="13"/>
  <c r="O27" i="13"/>
  <c r="E27" i="13"/>
  <c r="W26" i="13"/>
  <c r="V26" i="13"/>
  <c r="U26" i="13"/>
  <c r="P26" i="13"/>
  <c r="O26" i="13"/>
  <c r="W25" i="13"/>
  <c r="V25" i="13"/>
  <c r="U25" i="13"/>
  <c r="P25" i="13"/>
  <c r="O25" i="13"/>
  <c r="W24" i="13"/>
  <c r="V24" i="13"/>
  <c r="U24" i="13"/>
  <c r="P24" i="13"/>
  <c r="O24" i="13"/>
  <c r="W23" i="13"/>
  <c r="V23" i="13"/>
  <c r="U23" i="13"/>
  <c r="P23" i="13"/>
  <c r="O23" i="13"/>
  <c r="W22" i="13"/>
  <c r="V22" i="13"/>
  <c r="U22" i="13"/>
  <c r="P22" i="13"/>
  <c r="O22" i="13"/>
  <c r="W21" i="13"/>
  <c r="V21" i="13"/>
  <c r="U21" i="13"/>
  <c r="P21" i="13"/>
  <c r="O21" i="13"/>
  <c r="W20" i="13"/>
  <c r="V20" i="13"/>
  <c r="U20" i="13"/>
  <c r="P20" i="13"/>
  <c r="O20" i="13"/>
  <c r="W19" i="13"/>
  <c r="V19" i="13"/>
  <c r="U19" i="13"/>
  <c r="P19" i="13"/>
  <c r="O19" i="13"/>
  <c r="W18" i="13"/>
  <c r="V18" i="13"/>
  <c r="U18" i="13"/>
  <c r="P18" i="13"/>
  <c r="O18" i="13"/>
  <c r="W17" i="13"/>
  <c r="V17" i="13"/>
  <c r="U17" i="13"/>
  <c r="P17" i="13"/>
  <c r="O17" i="13"/>
  <c r="W16" i="13"/>
  <c r="V16" i="13"/>
  <c r="U16" i="13"/>
  <c r="P16" i="13"/>
  <c r="O16" i="13"/>
  <c r="W15" i="13"/>
  <c r="V15" i="13"/>
  <c r="U15" i="13"/>
  <c r="P15" i="13"/>
  <c r="O15" i="13"/>
  <c r="R45" i="13"/>
  <c r="W14" i="13"/>
  <c r="V14" i="13"/>
  <c r="U14" i="13"/>
  <c r="P14" i="13"/>
  <c r="O14" i="13"/>
  <c r="W13" i="13"/>
  <c r="V13" i="13"/>
  <c r="U13" i="13"/>
  <c r="P13" i="13"/>
  <c r="O13" i="13"/>
  <c r="W12" i="13"/>
  <c r="V12" i="13"/>
  <c r="U12" i="13"/>
  <c r="P12" i="13"/>
  <c r="O12" i="13"/>
  <c r="W11" i="13"/>
  <c r="V11" i="13"/>
  <c r="U11" i="13"/>
  <c r="P11" i="13"/>
  <c r="O11" i="13"/>
  <c r="W10" i="13"/>
  <c r="V10" i="13"/>
  <c r="U10" i="13"/>
  <c r="P10" i="13"/>
  <c r="O10" i="13"/>
  <c r="W9" i="13"/>
  <c r="V9" i="13"/>
  <c r="U9" i="13"/>
  <c r="P9" i="13"/>
  <c r="O9" i="13"/>
  <c r="W8" i="13"/>
  <c r="V8" i="13"/>
  <c r="U8" i="13"/>
  <c r="P8" i="13"/>
  <c r="O8" i="13"/>
  <c r="W7" i="13"/>
  <c r="V7" i="13"/>
  <c r="U7" i="13"/>
  <c r="P7" i="13"/>
  <c r="O7" i="13"/>
  <c r="W6" i="13"/>
  <c r="V6" i="13"/>
  <c r="U6" i="13"/>
  <c r="P6" i="13"/>
  <c r="O6" i="13"/>
  <c r="W5" i="13"/>
  <c r="V5" i="13"/>
  <c r="U5" i="13"/>
  <c r="P5" i="13"/>
  <c r="O5" i="13"/>
  <c r="W4" i="13"/>
  <c r="V4" i="13"/>
  <c r="U4" i="13"/>
  <c r="P4" i="13"/>
  <c r="O4" i="13"/>
  <c r="W3" i="13"/>
  <c r="V3" i="13"/>
  <c r="U3" i="13"/>
  <c r="P3" i="13"/>
  <c r="O3" i="13"/>
  <c r="W2" i="13"/>
  <c r="V2" i="13"/>
  <c r="U2" i="13"/>
  <c r="P2" i="13"/>
  <c r="O2" i="13"/>
  <c r="AB27" i="13" l="1"/>
  <c r="AJ27" i="13" s="1"/>
  <c r="I10" i="8" s="1"/>
  <c r="F16" i="8"/>
  <c r="F15" i="8"/>
  <c r="X6" i="13"/>
  <c r="X20" i="13"/>
  <c r="X27" i="13"/>
  <c r="X18" i="13"/>
  <c r="U28" i="13"/>
  <c r="X16" i="13"/>
  <c r="X21" i="13"/>
  <c r="X24" i="13"/>
  <c r="X13" i="13"/>
  <c r="X4" i="13"/>
  <c r="X9" i="13"/>
  <c r="X14" i="13"/>
  <c r="X7" i="13"/>
  <c r="X26" i="13"/>
  <c r="X15" i="13"/>
  <c r="X11" i="13"/>
  <c r="X25" i="13"/>
  <c r="X23" i="13"/>
  <c r="X12" i="13"/>
  <c r="X5" i="13"/>
  <c r="X19" i="13"/>
  <c r="X10" i="13"/>
  <c r="X3" i="13"/>
  <c r="X17" i="13"/>
  <c r="X8" i="13"/>
  <c r="X22" i="13"/>
  <c r="B9" i="8"/>
  <c r="V28" i="13"/>
  <c r="W28" i="13"/>
  <c r="S45" i="13"/>
  <c r="T45" i="13"/>
  <c r="B10" i="8"/>
  <c r="X2" i="13"/>
  <c r="I20" i="8" l="1"/>
  <c r="I21" i="8" s="1"/>
  <c r="I22" i="8" s="1"/>
  <c r="B20" i="8"/>
  <c r="B21" i="8" s="1"/>
  <c r="AE27" i="13"/>
  <c r="F10" i="8"/>
  <c r="F20" i="8"/>
  <c r="X28" i="13"/>
  <c r="X45" i="13" s="1"/>
  <c r="Y11" i="13"/>
  <c r="Y22" i="13"/>
  <c r="Y19" i="13"/>
  <c r="Y15" i="13"/>
  <c r="Y13" i="13"/>
  <c r="Y18" i="13"/>
  <c r="Y5" i="13"/>
  <c r="Y26" i="13"/>
  <c r="Y24" i="13"/>
  <c r="Y27" i="13"/>
  <c r="Y8" i="13"/>
  <c r="Y12" i="13"/>
  <c r="Y7" i="13"/>
  <c r="Y21" i="13"/>
  <c r="Y20" i="13"/>
  <c r="Y3" i="13"/>
  <c r="Y25" i="13"/>
  <c r="Y9" i="13"/>
  <c r="Y10" i="13"/>
  <c r="Y4" i="13"/>
  <c r="Y17" i="13"/>
  <c r="Y23" i="13"/>
  <c r="Y14" i="13"/>
  <c r="Y16" i="13"/>
  <c r="Y6" i="13"/>
  <c r="B14" i="8"/>
  <c r="B16" i="8" s="1"/>
  <c r="B11" i="8"/>
  <c r="W45" i="13"/>
  <c r="Y2" i="13"/>
  <c r="AD45" i="13" l="1"/>
  <c r="AI45" i="13"/>
  <c r="AG45" i="13"/>
  <c r="AH45" i="13"/>
  <c r="F22" i="8"/>
  <c r="F23" i="8" s="1"/>
  <c r="F21" i="8"/>
  <c r="AF45" i="13"/>
  <c r="Y45" i="13"/>
  <c r="AJ45" i="13"/>
  <c r="AB45" i="13"/>
  <c r="AE45" i="13"/>
  <c r="AC45" i="13"/>
  <c r="AA45" i="13"/>
  <c r="Y28" i="13"/>
  <c r="B15" i="8"/>
  <c r="B22" i="8" s="1"/>
  <c r="B23" i="8" s="1"/>
  <c r="B24" i="8" s="1"/>
  <c r="B4" i="8"/>
  <c r="L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2" i="3"/>
  <c r="B6" i="8"/>
  <c r="B3" i="8"/>
  <c r="O64" i="1"/>
  <c r="O65" i="1"/>
  <c r="O2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3" i="1"/>
  <c r="F24" i="8" l="1"/>
  <c r="D169" i="3"/>
</calcChain>
</file>

<file path=xl/sharedStrings.xml><?xml version="1.0" encoding="utf-8"?>
<sst xmlns="http://schemas.openxmlformats.org/spreadsheetml/2006/main" count="3576" uniqueCount="768">
  <si>
    <t>Number</t>
  </si>
  <si>
    <t>Abi saaja nimi</t>
  </si>
  <si>
    <t>Abi saaja registri- või isikukood</t>
  </si>
  <si>
    <t>Abi saaja riik</t>
  </si>
  <si>
    <t>Abi saaja liik ja töötajate arv</t>
  </si>
  <si>
    <t>Piirkond, kus abisaaja asub</t>
  </si>
  <si>
    <t>Tegevusala kood</t>
  </si>
  <si>
    <t>Abi nominaalväärtus</t>
  </si>
  <si>
    <t>Antud (otsustatud) abi summa</t>
  </si>
  <si>
    <t>Abi vorm</t>
  </si>
  <si>
    <t>Abi andmise otsuse kuupäev</t>
  </si>
  <si>
    <t>Peaeesmärk ja alameesmärk</t>
  </si>
  <si>
    <t>Siseriiklik õiguslik alus</t>
  </si>
  <si>
    <t>Abi andev asutus</t>
  </si>
  <si>
    <t>Euroopa Komisjoni number</t>
  </si>
  <si>
    <t>Abimeetme nr</t>
  </si>
  <si>
    <t>Volitatud üksuse nimi</t>
  </si>
  <si>
    <t>231540/2500061</t>
  </si>
  <si>
    <t>Aluver Tootmine OÜ</t>
  </si>
  <si>
    <t>EE</t>
  </si>
  <si>
    <t>Väikese suurusega ettevõtja (10-49 töötajat)</t>
  </si>
  <si>
    <t>EE00 Eesti</t>
  </si>
  <si>
    <t>25.1</t>
  </si>
  <si>
    <t/>
  </si>
  <si>
    <t>Rahaline toetus</t>
  </si>
  <si>
    <t>Muu</t>
  </si>
  <si>
    <t>https://www.riigiteataja.ee/akt/101062023004</t>
  </si>
  <si>
    <t>Ettevõtluse ja Innovatsiooni Sihtasutus</t>
  </si>
  <si>
    <t>231540/2500063</t>
  </si>
  <si>
    <t>MTLUX OÜ</t>
  </si>
  <si>
    <t>231540/2500056</t>
  </si>
  <si>
    <t>Ecosh Life OÜ</t>
  </si>
  <si>
    <t>35.1</t>
  </si>
  <si>
    <t>231540/2500057</t>
  </si>
  <si>
    <t>Multimek Baltic OÜ</t>
  </si>
  <si>
    <t>Keskmise suurusega ettevõtja (50-249 töötajat)</t>
  </si>
  <si>
    <t>25.9</t>
  </si>
  <si>
    <t>231540/2500058</t>
  </si>
  <si>
    <t>OÜ Helmetal IMS</t>
  </si>
  <si>
    <t>231540/2500059</t>
  </si>
  <si>
    <t>Riverbank OÜ</t>
  </si>
  <si>
    <t>231540/2500060</t>
  </si>
  <si>
    <t>Dipperfox OÜ</t>
  </si>
  <si>
    <t>28.3</t>
  </si>
  <si>
    <t>231540/2500062</t>
  </si>
  <si>
    <t>Ysse OÜ</t>
  </si>
  <si>
    <t>Mikroettevõtja (1-9 töötajat)</t>
  </si>
  <si>
    <t>16.2</t>
  </si>
  <si>
    <t>231540/2500055</t>
  </si>
  <si>
    <t>AS SAMI</t>
  </si>
  <si>
    <t>231540/2500053</t>
  </si>
  <si>
    <t>Osaühing Eesti Killustik</t>
  </si>
  <si>
    <t>08.1</t>
  </si>
  <si>
    <t>231540/2500054</t>
  </si>
  <si>
    <t>Osaühing Sikassaare Vanametall</t>
  </si>
  <si>
    <t>46.1</t>
  </si>
  <si>
    <t>231540/2500052</t>
  </si>
  <si>
    <t>OÜ Soleest</t>
  </si>
  <si>
    <t>231540/2500049</t>
  </si>
  <si>
    <t>aktsiaselts Eleväli</t>
  </si>
  <si>
    <t>42.2</t>
  </si>
  <si>
    <t>231540/2500050</t>
  </si>
  <si>
    <t>Osaühing Nõlvak &amp; Ko</t>
  </si>
  <si>
    <t>95.3</t>
  </si>
  <si>
    <t>231540/2500051</t>
  </si>
  <si>
    <t>KEVMET GRUPP OÜ</t>
  </si>
  <si>
    <t>231540/2500047</t>
  </si>
  <si>
    <t>Ilmatsalu Kontorid OÜ</t>
  </si>
  <si>
    <t>231540/2500048</t>
  </si>
  <si>
    <t>Osaühing Arboris</t>
  </si>
  <si>
    <t>10.3</t>
  </si>
  <si>
    <t>231540/2500046</t>
  </si>
  <si>
    <t>OÜ RDS Grupp</t>
  </si>
  <si>
    <t>25.6</t>
  </si>
  <si>
    <t>231540/2500042</t>
  </si>
  <si>
    <t>Osaühing Vändra Visa</t>
  </si>
  <si>
    <t>46.4</t>
  </si>
  <si>
    <t>231540/2500043</t>
  </si>
  <si>
    <t>osaühing PUIDU TAAVET</t>
  </si>
  <si>
    <t>32.9</t>
  </si>
  <si>
    <t>231540/2500044</t>
  </si>
  <si>
    <t>OÜ Viibergi</t>
  </si>
  <si>
    <t>231540/2500045</t>
  </si>
  <si>
    <t>aktsiaselts Nuia PMT</t>
  </si>
  <si>
    <t>28.1</t>
  </si>
  <si>
    <t>231540/2500040</t>
  </si>
  <si>
    <t>osaühing GREIF</t>
  </si>
  <si>
    <t>18.1</t>
  </si>
  <si>
    <t>231540/2500041</t>
  </si>
  <si>
    <t>aktsiaselts Hevea</t>
  </si>
  <si>
    <t>22.1</t>
  </si>
  <si>
    <t>231540/2500037</t>
  </si>
  <si>
    <t>Tartu Südamekodu OÜ</t>
  </si>
  <si>
    <t>Suurettevõtja (250 ja üle töötajat)</t>
  </si>
  <si>
    <t>87.3</t>
  </si>
  <si>
    <t>231540/2500034</t>
  </si>
  <si>
    <t>OÜ LUMIRA</t>
  </si>
  <si>
    <t>68.2</t>
  </si>
  <si>
    <t>231540/2500035</t>
  </si>
  <si>
    <t>231540/2500038</t>
  </si>
  <si>
    <t>Osaühing MP &amp; Puitmeister</t>
  </si>
  <si>
    <t>16.1</t>
  </si>
  <si>
    <t>231540/2500039</t>
  </si>
  <si>
    <t>OÜ PELTOC</t>
  </si>
  <si>
    <t>33.1</t>
  </si>
  <si>
    <t>231540/2500033</t>
  </si>
  <si>
    <t>Nerostein OÜ</t>
  </si>
  <si>
    <t>23.7</t>
  </si>
  <si>
    <t>231540/2500036</t>
  </si>
  <si>
    <t>EF Production OÜ</t>
  </si>
  <si>
    <t>231540/2500032</t>
  </si>
  <si>
    <t>Jäämari OÜ</t>
  </si>
  <si>
    <t>10.5</t>
  </si>
  <si>
    <t>231540/2500031</t>
  </si>
  <si>
    <t>Aktsiaselts KITZINGER-PROGRESS</t>
  </si>
  <si>
    <t>28.9</t>
  </si>
  <si>
    <t>231540/2500030</t>
  </si>
  <si>
    <t>Osaühing VarenaGrupp</t>
  </si>
  <si>
    <t>42.9</t>
  </si>
  <si>
    <t>231540/2500029</t>
  </si>
  <si>
    <t>Server Farm OÜ</t>
  </si>
  <si>
    <t>61.9</t>
  </si>
  <si>
    <t>231540/2500028</t>
  </si>
  <si>
    <t>Südamekodud AS</t>
  </si>
  <si>
    <t>231540/2500027</t>
  </si>
  <si>
    <t>Liivalaia Kodukauba OÜ</t>
  </si>
  <si>
    <t>231540/2500025</t>
  </si>
  <si>
    <t>OÜ Balti Spoon</t>
  </si>
  <si>
    <t>231540/2500026</t>
  </si>
  <si>
    <t>Citystudio OÜ</t>
  </si>
  <si>
    <t>55.1</t>
  </si>
  <si>
    <t>231540/2500023</t>
  </si>
  <si>
    <t>Eswire OÜ</t>
  </si>
  <si>
    <t>27.3</t>
  </si>
  <si>
    <t>231540/2500022</t>
  </si>
  <si>
    <t>Osaühing Heimarus</t>
  </si>
  <si>
    <t>45.2</t>
  </si>
  <si>
    <t>231540/2500021</t>
  </si>
  <si>
    <t>HANZA Mechanics Narva AS</t>
  </si>
  <si>
    <t>231540/2500020</t>
  </si>
  <si>
    <t>HUT Eesti OÜ</t>
  </si>
  <si>
    <t>231540/2500024</t>
  </si>
  <si>
    <t>Veokiremont OÜ</t>
  </si>
  <si>
    <t>231540/2500019</t>
  </si>
  <si>
    <t>Osaühing Eesti Tõukari</t>
  </si>
  <si>
    <t>231540/2500016</t>
  </si>
  <si>
    <t>Aktsiaselts EEMELI</t>
  </si>
  <si>
    <t>231540/2500017</t>
  </si>
  <si>
    <t>AS SAMI Tootmine</t>
  </si>
  <si>
    <t>231540/2500018</t>
  </si>
  <si>
    <t>Viljandi Metall AS</t>
  </si>
  <si>
    <t>231540/2500014</t>
  </si>
  <si>
    <t>Osaühing KEERDTREPP</t>
  </si>
  <si>
    <t>231540/2500015</t>
  </si>
  <si>
    <t>Voller Sisustus OÜ</t>
  </si>
  <si>
    <t>43.9</t>
  </si>
  <si>
    <t>231540/2500012</t>
  </si>
  <si>
    <t>Rootsi Mööbel OÜ</t>
  </si>
  <si>
    <t>31.0</t>
  </si>
  <si>
    <t>231540/2500013</t>
  </si>
  <si>
    <t>231540/2500011</t>
  </si>
  <si>
    <t>231540/2500010</t>
  </si>
  <si>
    <t>Foor Jõhvi OÜ</t>
  </si>
  <si>
    <t>231540/2500009</t>
  </si>
  <si>
    <t>aktsiaselts VÕRU VESI</t>
  </si>
  <si>
    <t>37.0</t>
  </si>
  <si>
    <t>231540/2500007</t>
  </si>
  <si>
    <t>ARIMENTES OÜ</t>
  </si>
  <si>
    <t>49.4</t>
  </si>
  <si>
    <t>231540/2500008</t>
  </si>
  <si>
    <t>osaühing Põlmer</t>
  </si>
  <si>
    <t>231540/2500006</t>
  </si>
  <si>
    <t>Osaühing DZIDRA</t>
  </si>
  <si>
    <t>231540/2500005</t>
  </si>
  <si>
    <t>36.0</t>
  </si>
  <si>
    <t>231540/2500004</t>
  </si>
  <si>
    <t>Tabivere Soojus OÜ</t>
  </si>
  <si>
    <t>35.3</t>
  </si>
  <si>
    <t>231540/2500003</t>
  </si>
  <si>
    <t>Narma OÜ</t>
  </si>
  <si>
    <t>13.9</t>
  </si>
  <si>
    <t>231540/2500002</t>
  </si>
  <si>
    <t>231540/2500001</t>
  </si>
  <si>
    <t>231540/2400050</t>
  </si>
  <si>
    <t>aktsiaselts FÖRMANN NT</t>
  </si>
  <si>
    <t>231540/2400049</t>
  </si>
  <si>
    <t>Leku Metall OÜ</t>
  </si>
  <si>
    <t>231540/2400048</t>
  </si>
  <si>
    <t>Ruukki Products AS</t>
  </si>
  <si>
    <t>25.5</t>
  </si>
  <si>
    <t>231540/2400047</t>
  </si>
  <si>
    <t>MARREK PUIT OÜ</t>
  </si>
  <si>
    <t>231540/2400046</t>
  </si>
  <si>
    <t>Väike Päike Viimsi OÜ</t>
  </si>
  <si>
    <t>85.1</t>
  </si>
  <si>
    <t>231540/2400045</t>
  </si>
  <si>
    <t>TULIPUNANE OÜ</t>
  </si>
  <si>
    <t>71.1</t>
  </si>
  <si>
    <t>231540/2400044</t>
  </si>
  <si>
    <t>ARENS AS</t>
  </si>
  <si>
    <t>231540/2400043</t>
  </si>
  <si>
    <t>aktsiaselts Viiratsi Saeveski</t>
  </si>
  <si>
    <t>231540/2400042</t>
  </si>
  <si>
    <t>Thörn Houses OÜ</t>
  </si>
  <si>
    <t>41.2</t>
  </si>
  <si>
    <t>231540/2400041</t>
  </si>
  <si>
    <t>OÜ AMESTOP</t>
  </si>
  <si>
    <t>38.2</t>
  </si>
  <si>
    <t>231540/2400040</t>
  </si>
  <si>
    <t>aktsiaselts VALDEK</t>
  </si>
  <si>
    <t>231540/2400039</t>
  </si>
  <si>
    <t>Mikskaar Miksgrow AS</t>
  </si>
  <si>
    <t>08.9</t>
  </si>
  <si>
    <t>231540/2400038</t>
  </si>
  <si>
    <t>Aktsiaselts Viljandi Veevärk</t>
  </si>
  <si>
    <t>231540/2400037</t>
  </si>
  <si>
    <t>Cooltec OÜ</t>
  </si>
  <si>
    <t>28.2</t>
  </si>
  <si>
    <t>231540/2400036</t>
  </si>
  <si>
    <t>231540/2400035</t>
  </si>
  <si>
    <t>aktsiaselts WERMO</t>
  </si>
  <si>
    <t>231540/2400034</t>
  </si>
  <si>
    <t>VTM Pluss OÜ</t>
  </si>
  <si>
    <t>231540/2400033</t>
  </si>
  <si>
    <t>Aktsiaselts NARVA-JÕESUU SANATOORIUM</t>
  </si>
  <si>
    <t>231540/2400031</t>
  </si>
  <si>
    <t>Finest-Hall Factory OÜ</t>
  </si>
  <si>
    <t>231540/2400030</t>
  </si>
  <si>
    <t>OÜ Aigren</t>
  </si>
  <si>
    <t>231540/2400032</t>
  </si>
  <si>
    <t>231540/2400029</t>
  </si>
  <si>
    <t>OÜ NORDLUM</t>
  </si>
  <si>
    <t>231540/2400028</t>
  </si>
  <si>
    <t>AS Schenker</t>
  </si>
  <si>
    <t>52.2</t>
  </si>
  <si>
    <t>231540/2400027</t>
  </si>
  <si>
    <t>Osaühing Lisako</t>
  </si>
  <si>
    <t>231540/2400026</t>
  </si>
  <si>
    <t>Seart Production OÜ</t>
  </si>
  <si>
    <t>32.3</t>
  </si>
  <si>
    <t>231540/2400025</t>
  </si>
  <si>
    <t>OÜ Ravila Mõis</t>
  </si>
  <si>
    <t>231540/2400024</t>
  </si>
  <si>
    <t>MOVEK GRUPP OÜ</t>
  </si>
  <si>
    <t>231540/2400020</t>
  </si>
  <si>
    <t>aktsiaselts Barrus</t>
  </si>
  <si>
    <t>231540/2400021</t>
  </si>
  <si>
    <t>OÜ Jazz Selvepesulad</t>
  </si>
  <si>
    <t>231540/2400022</t>
  </si>
  <si>
    <t>osaühing Jazz Pesulad</t>
  </si>
  <si>
    <t>231540/2400023</t>
  </si>
  <si>
    <t>231540/2400018</t>
  </si>
  <si>
    <t>Aktsiaselts SEBE</t>
  </si>
  <si>
    <t>49.3</t>
  </si>
  <si>
    <t>231540/2400019</t>
  </si>
  <si>
    <t>OÜ KARUPESA HOTELL</t>
  </si>
  <si>
    <t>231540/2400016</t>
  </si>
  <si>
    <t>231540/2400017</t>
  </si>
  <si>
    <t>Adavere Meat OÜ</t>
  </si>
  <si>
    <t>10.1</t>
  </si>
  <si>
    <t>231540/2400015</t>
  </si>
  <si>
    <t>osaühing Enera</t>
  </si>
  <si>
    <t>55.2</t>
  </si>
  <si>
    <t>231540/2400014</t>
  </si>
  <si>
    <t>Osaühing MEDIFUR</t>
  </si>
  <si>
    <t>32.5</t>
  </si>
  <si>
    <t>231540/2400013</t>
  </si>
  <si>
    <t>OÜ BLAUTEAM</t>
  </si>
  <si>
    <t>231540/2400012</t>
  </si>
  <si>
    <t>231540/2400011</t>
  </si>
  <si>
    <t>osaühing ORTHEZ</t>
  </si>
  <si>
    <t>231540/2400008</t>
  </si>
  <si>
    <t>Osaühing Lahekala</t>
  </si>
  <si>
    <t>10.9</t>
  </si>
  <si>
    <t>231540/2400009</t>
  </si>
  <si>
    <t>231540/2400010</t>
  </si>
  <si>
    <t>Osaühing Pesumaja REA</t>
  </si>
  <si>
    <t>96.9</t>
  </si>
  <si>
    <t>231540/2400007</t>
  </si>
  <si>
    <t>231540/2400006</t>
  </si>
  <si>
    <t>AS Paldiski Tsingipada</t>
  </si>
  <si>
    <t>231540/2400005</t>
  </si>
  <si>
    <t>Lokuta Kaater OÜ</t>
  </si>
  <si>
    <t>231540/2400004</t>
  </si>
  <si>
    <t>AS Valga Depoo</t>
  </si>
  <si>
    <t>231540/2400003</t>
  </si>
  <si>
    <t>231540/2400002</t>
  </si>
  <si>
    <t>Aktsiaselts Sillamäe-Veevärk</t>
  </si>
  <si>
    <t>231540/2400001</t>
  </si>
  <si>
    <t>osaühing Kalla Mööbel</t>
  </si>
  <si>
    <t>231540/2300017</t>
  </si>
  <si>
    <t>231540/2300016</t>
  </si>
  <si>
    <t>Meeskonnatreeningud OÜ</t>
  </si>
  <si>
    <t>231540/2300014</t>
  </si>
  <si>
    <t>Helland Baltic OÜ</t>
  </si>
  <si>
    <t>231540/2300013</t>
  </si>
  <si>
    <t>231540/2300015</t>
  </si>
  <si>
    <t>Osaühing B&amp;W Metall</t>
  </si>
  <si>
    <t>231540/2300012</t>
  </si>
  <si>
    <t>Shroomwell OÜ</t>
  </si>
  <si>
    <t>10.8</t>
  </si>
  <si>
    <t>231540/2300011</t>
  </si>
  <si>
    <t>HAKA Plast Osaühing</t>
  </si>
  <si>
    <t>22.2</t>
  </si>
  <si>
    <t>231540/2300010</t>
  </si>
  <si>
    <t>231540/2300008</t>
  </si>
  <si>
    <t>231540/2300009</t>
  </si>
  <si>
    <t>231540/2300007</t>
  </si>
  <si>
    <t>231540/2300006</t>
  </si>
  <si>
    <t>231540/2300005</t>
  </si>
  <si>
    <t>231540/2300004</t>
  </si>
  <si>
    <t>aktsiaselts Reideni plaat</t>
  </si>
  <si>
    <t>231540/2300001</t>
  </si>
  <si>
    <t>Koriks-Fiiber OÜ</t>
  </si>
  <si>
    <t>231540/2300002</t>
  </si>
  <si>
    <t>AS Pinest</t>
  </si>
  <si>
    <t>231540/2300003</t>
  </si>
  <si>
    <t>251802/2500003</t>
  </si>
  <si>
    <t>Taastuvallikatest toodetud energia edendamisse tehtavateks investeeringuteks ettenähtud abi (artikkel 41)</t>
  </si>
  <si>
    <t>SA.118048</t>
  </si>
  <si>
    <t>251802/2500004</t>
  </si>
  <si>
    <t>Aktsiaselts KONESKO</t>
  </si>
  <si>
    <t>251802/2500005</t>
  </si>
  <si>
    <t>Aktsiaselts Hansa Candle</t>
  </si>
  <si>
    <t>251802/2500002</t>
  </si>
  <si>
    <t>AS Saku Metall Uksetehas</t>
  </si>
  <si>
    <t>251802/2500001</t>
  </si>
  <si>
    <t>Toetuse saaja</t>
  </si>
  <si>
    <t>Toetuse saaja reg. kood</t>
  </si>
  <si>
    <t>Projekti nimi</t>
  </si>
  <si>
    <t>Toetuse suurus (eur)</t>
  </si>
  <si>
    <t>Projekti maksumus (EUR)</t>
  </si>
  <si>
    <t>Toetus</t>
  </si>
  <si>
    <t>RAHASTUSALLIKAS</t>
  </si>
  <si>
    <t>Otsuse kuupäev</t>
  </si>
  <si>
    <t>Adavere Meat OÜ varustuskindluse parandamine</t>
  </si>
  <si>
    <t>Ettevõtja varustuskindluse toetus</t>
  </si>
  <si>
    <t>Taaste ja vastupidavusrahastu (RRF)</t>
  </si>
  <si>
    <t>Barrus AS varustuskindluse investeering</t>
  </si>
  <si>
    <t>Eemeli AS varustuskindluse investeering</t>
  </si>
  <si>
    <t>Salvestusseadme soetamine AS Eleväli elektri varustuskindluse tagamiseks asukohas Tallinna tn 58 Viljandi linn.</t>
  </si>
  <si>
    <t>AS Eleväli varustuskindluse suurendamine Viljandis Tallinna tn 62</t>
  </si>
  <si>
    <t>Varustuskindluse parendamine ja taastuvenergiale üleminek ettevõttes Förmann NT AS</t>
  </si>
  <si>
    <t>Förmann NT varustuskindluse parendamine</t>
  </si>
  <si>
    <t>Förmann NT varustuskindluse parendamine 3</t>
  </si>
  <si>
    <t>Hansa Candle varustuskindluse tagamine</t>
  </si>
  <si>
    <t>Hevea AS akusalvestus</t>
  </si>
  <si>
    <t>Kitzinger-Progress AS varustuskindluse investeering</t>
  </si>
  <si>
    <t>Konesko AS akusalvestus</t>
  </si>
  <si>
    <t>Aktsiaselts Mistra-Autex</t>
  </si>
  <si>
    <t>Mistra-Autex AS varustuskindluse suurendamine</t>
  </si>
  <si>
    <t>Mistra-Autex AS varustuskindluse suurendamine elektrifitseerimise teel</t>
  </si>
  <si>
    <t>Narva-Jõesuu Medical SPA varustuskindluse parendamine</t>
  </si>
  <si>
    <t>aktsiaselts NETT</t>
  </si>
  <si>
    <t>aktsiaseltsi Nett varustuskindluse investeering</t>
  </si>
  <si>
    <t>aktsiaselts Nuia PMT varustuskindluse investeeringud</t>
  </si>
  <si>
    <t>aktsiaselts Pühajärve Puhkekodu</t>
  </si>
  <si>
    <t>Pühajärve Puhkekodu AS päikeseenergia jaam</t>
  </si>
  <si>
    <t>Aktsiaselts Räpina Paberivabrik</t>
  </si>
  <si>
    <t>Aktsiaselts Räpina Paberivabrik varustuskindluse investeeringud</t>
  </si>
  <si>
    <t>Aktsiaselts Reideni Plaat varustuskindluse investeering</t>
  </si>
  <si>
    <t>SEBE AS varustuskindluse tõstmine</t>
  </si>
  <si>
    <t>Sõtke 2a päikesepark</t>
  </si>
  <si>
    <t>Valdek AS PEJ</t>
  </si>
  <si>
    <t>AS Viiratsi Saeveski varustuskindluse tõstmine elektri salvestusseadmete paigaldamise kaudu</t>
  </si>
  <si>
    <t>Aktsiaselts Viljandi Metall</t>
  </si>
  <si>
    <t>AS Viljandi Metall varustuskindluse parandamine taastuvenergia kasutamise suurendamise kaudu.</t>
  </si>
  <si>
    <t>AS Viljandi Veevärk varustuskindluse parandamine</t>
  </si>
  <si>
    <t>Kooli tn 23 Kanepi reoveepuhasti päikeseelektrijaama soetamine</t>
  </si>
  <si>
    <t>Kaare tn 27 Võru reoveepumpla päikeseelektrijaama soetamine</t>
  </si>
  <si>
    <t>Veski tn 3 ja Tõlli tn 2 veetöötlusjaamade päikeseelektrijaamade soetamine</t>
  </si>
  <si>
    <t>Wermo AS-i varustuskindluse investeeringud</t>
  </si>
  <si>
    <t>AQ Lasertool OÜ</t>
  </si>
  <si>
    <t>AQ Lasertool OÜ varustuskindluse investeeringud</t>
  </si>
  <si>
    <t>Ardor OÜ</t>
  </si>
  <si>
    <t>Ardor OÜ varustuskindluse investeeringud</t>
  </si>
  <si>
    <t>Arens AS Varutuskindluse toetus</t>
  </si>
  <si>
    <t>Arimentes akupank</t>
  </si>
  <si>
    <t>AS Paldiski Tsingipada varustuskindluse investeeringud</t>
  </si>
  <si>
    <t>AS Palmako</t>
  </si>
  <si>
    <t>AS Palmako varustuskindluse investeeringud</t>
  </si>
  <si>
    <t>Pinest AS varustuskindluse investeeringud</t>
  </si>
  <si>
    <t>Saku Metall Uksetehas AS päikesepargi rajamine</t>
  </si>
  <si>
    <t>Segu 1 päikesejaam</t>
  </si>
  <si>
    <t>Tule 20 päikesejaam</t>
  </si>
  <si>
    <t>Tule 24 päikesejaam</t>
  </si>
  <si>
    <t>Tule 20 akusalvestus</t>
  </si>
  <si>
    <t>Tule 24 akusalvestus</t>
  </si>
  <si>
    <t>Petseri 40 päikesejaam</t>
  </si>
  <si>
    <t>AS Sami Tootmine varustuskindluse investeeringud</t>
  </si>
  <si>
    <t>AS Tartu Graanul</t>
  </si>
  <si>
    <t>AS Tartu Graanul varustuskindluse investeeringud</t>
  </si>
  <si>
    <t>Valga Depoo ASi Valga Depoo ASi jätkusuutliku energiaülemineku ja turvalisuse arendamine</t>
  </si>
  <si>
    <t>Baltic Workboats AS</t>
  </si>
  <si>
    <t>BWB päikesepark</t>
  </si>
  <si>
    <t>Boardic Eesti OÜ</t>
  </si>
  <si>
    <t>Boardic Eesti OÜ varustuskindluse investeeringud</t>
  </si>
  <si>
    <t>Salvestusseadme soetamine Emmi hotellile</t>
  </si>
  <si>
    <t>Combimill Sakala OÜ</t>
  </si>
  <si>
    <t>Ettevõtte Combimill Sakala OÜ energiaga varustuskindluse suurendamine</t>
  </si>
  <si>
    <t>Cooltec OÜ uue tootmishoone katuse päikesepark 50kW</t>
  </si>
  <si>
    <t>Danspin AS</t>
  </si>
  <si>
    <t>Danspin varustuskindluse parendamine</t>
  </si>
  <si>
    <t>E-Betoonelement OÜ</t>
  </si>
  <si>
    <t>E-Betoonelement OÜ varustuskindluse investeeringud</t>
  </si>
  <si>
    <t>EF Production OÜ päikeseeletrijaama ehitamine ja salvestusseadme paigaldamine</t>
  </si>
  <si>
    <t>Estonian Plywood AS</t>
  </si>
  <si>
    <t>Estonian Plywood AS varustuskindluse investeering</t>
  </si>
  <si>
    <t>Eswire OÜ varustuskindlus</t>
  </si>
  <si>
    <t>ETS NORD AS</t>
  </si>
  <si>
    <t>ETS NORD Varustuskindluse tagamine</t>
  </si>
  <si>
    <t>Finest-Hall Factory OÜ varustuskindluse investeeringud</t>
  </si>
  <si>
    <t>Nele hosteli akupank</t>
  </si>
  <si>
    <t>Nele hosteli päikesepargi rajamine</t>
  </si>
  <si>
    <t>HAKA Plasti varustuskindluse tagamine</t>
  </si>
  <si>
    <t>HANZA Mechanics Narva AS varustuskindluse investeeringud</t>
  </si>
  <si>
    <t>Helland Baltic OÜ varustuskindluse investeeringud</t>
  </si>
  <si>
    <t>HUT Eesti OÜ akusalvestus</t>
  </si>
  <si>
    <t>Elektrienergia salvestuse paigaldamine olemasoleva päikeseenergia tootmisega ärihoonetele</t>
  </si>
  <si>
    <t>Salvestusseadmete ostmine ja paigaldus</t>
  </si>
  <si>
    <t>Kagu Elekter OÜ</t>
  </si>
  <si>
    <t>Kagu Elekter EAS varustuskindluse toetus</t>
  </si>
  <si>
    <t>Elektrilise tõstuki soetamine</t>
  </si>
  <si>
    <t>KMG OÜ</t>
  </si>
  <si>
    <t>KMG OÜ Pärnu ABT varustuskindluse investeeringud</t>
  </si>
  <si>
    <t>KMG OÜ Tallinna ABT varustuskindluse investeeringud</t>
  </si>
  <si>
    <t>Koriks-Fiiber energia varustuskindluse tagamine</t>
  </si>
  <si>
    <t>Krah Pipes OÜ</t>
  </si>
  <si>
    <t>Krah Pipes OÜ varustuskindluse investeeringud</t>
  </si>
  <si>
    <t>Vana-Narva mnt 24 varustuskindluse tagamine</t>
  </si>
  <si>
    <t>Lokuta Kaater OÜ akupank</t>
  </si>
  <si>
    <t>Lunden Food OÜ</t>
  </si>
  <si>
    <t>Lundeni päikesejaam</t>
  </si>
  <si>
    <t>Marrek Puit OÜ akupangad</t>
  </si>
  <si>
    <t>Marrek Puit OÜ akupank</t>
  </si>
  <si>
    <t>Aktsiaselts Mikskaar varustuskindluse investeeringud</t>
  </si>
  <si>
    <t>Movek Grupp OÜ tootmishoone päikesepark</t>
  </si>
  <si>
    <t>Nefab Packaging OÜ</t>
  </si>
  <si>
    <t>Nefab Packaging OÜ varustuskindluse investeeringud</t>
  </si>
  <si>
    <t>Varustuskindlus projekt</t>
  </si>
  <si>
    <t>Oniar OÜ</t>
  </si>
  <si>
    <t>Üleminek taastuvenergia allikale</t>
  </si>
  <si>
    <t>Arboris OÜ päikeseelektrijaama ja salvestusseadme paigaldamine</t>
  </si>
  <si>
    <t>B&amp;W Metall OÜ varustuskindluse suurendamine</t>
  </si>
  <si>
    <t>Dzidra OÜ varustuskindluse investeeringud</t>
  </si>
  <si>
    <t>Eesti Killustik OÜ varustuskindluse investeering</t>
  </si>
  <si>
    <t>Luige baasi päikeseenergia salvestuslahendus</t>
  </si>
  <si>
    <t>Enera varustuskindluse parandamine</t>
  </si>
  <si>
    <t>GREIF varustuskindluse investeering</t>
  </si>
  <si>
    <t>OÜ Heimarus remonditöökoja varustuskindluse tagamine läbi taastuvenergiaseadmete ja salvestuseadmete soetamise ja paigaldamise</t>
  </si>
  <si>
    <t>Jazz Pesulad OÜ energiatõhususe toetuse taotlus väljaspool Tallinnat ja Harjumaad</t>
  </si>
  <si>
    <t>Jazz Pesulad OÜ energiatõhususe toetuse taotlus Tallinn ja Harjumaa</t>
  </si>
  <si>
    <t>Kalla Mööbel OÜ varustuskindluse projekt</t>
  </si>
  <si>
    <t>Keerdtrepp OÜ varustuskindluse investeeringud</t>
  </si>
  <si>
    <t>Lahekala OÜ varustuskindluse parandamine</t>
  </si>
  <si>
    <t>OÜ Lisako varustuskindluse tagamine</t>
  </si>
  <si>
    <t>Medifur Oü salvestusseadmete ost ja paigaldus</t>
  </si>
  <si>
    <t>Osaühing MetEst Metall</t>
  </si>
  <si>
    <t>MetEst Metall OÜ varustuskindluse investeeringud</t>
  </si>
  <si>
    <t>Päikesepargi ja salvestusseadmete paigaldamine MP &amp; Puitmeister OÜ tootmiskinnistule Tormas</t>
  </si>
  <si>
    <t>Osaühing Narma</t>
  </si>
  <si>
    <t>Elektritõstuki ost</t>
  </si>
  <si>
    <t>Pakiauto varustuskindluse tugevdamine</t>
  </si>
  <si>
    <t>Osaühing NOVARA</t>
  </si>
  <si>
    <t>Osaühingu Novara varustuskindluse investeeringud</t>
  </si>
  <si>
    <t>Orthez OÜ varustuskindluse investeeringud</t>
  </si>
  <si>
    <t>Orthez OÜ varustuskindluse investeeringud 2</t>
  </si>
  <si>
    <t>osaühing PEETRI PUIT</t>
  </si>
  <si>
    <t>Peetri Puit OÜ tootmishoonete päikesepark</t>
  </si>
  <si>
    <t>Päikesepargi rajamine</t>
  </si>
  <si>
    <t>Päikese paneelid tootmishoonele kalevi 30a, Kuressaare</t>
  </si>
  <si>
    <t>15 kw Päikesepark koos akudega</t>
  </si>
  <si>
    <t>Puidu Taavet OÜ varustuskindluse investeering</t>
  </si>
  <si>
    <t>Puidu Taavet OÜ elektrifitseerimise projekt</t>
  </si>
  <si>
    <t>Osaühing Puidukoda</t>
  </si>
  <si>
    <t>Üleminek taastuvenergiale ja varustuskindluse parandamine ettevõttes Puidukoda OÜ</t>
  </si>
  <si>
    <t>Sikassaare Vanametalli akusalvestus</t>
  </si>
  <si>
    <t>Osaühing STAKO DILER</t>
  </si>
  <si>
    <t>Osaühing Stako Diler varustuskindluse investeeringud</t>
  </si>
  <si>
    <t>Osaühing TAPA MILL</t>
  </si>
  <si>
    <t>Tapa Mill OÜ varustuskindluse investeeringud</t>
  </si>
  <si>
    <t>osaühing Tarmetec</t>
  </si>
  <si>
    <t>osaühing Tarmetec varustuskindluse investeeringud</t>
  </si>
  <si>
    <t>Salvestusseadmete paigaldamine Kase 5 Vändra</t>
  </si>
  <si>
    <t>Salvestusseadmete ostmine ja paigaldamine</t>
  </si>
  <si>
    <t>Aigren OÜ EAS varustuskindluse toetus</t>
  </si>
  <si>
    <t>OÜ Airok</t>
  </si>
  <si>
    <t>Taastuvenergia rakendamine ning varustuskindluse parendamine</t>
  </si>
  <si>
    <t>Amestop OÜ varustuskindluse investeering</t>
  </si>
  <si>
    <t>Sisepõlemismootoriga kahveltõstukite väljavahetamine elektriliste vastu</t>
  </si>
  <si>
    <t>Blauteam varustuskindluse parandamine</t>
  </si>
  <si>
    <t>OÜ Cristella VT</t>
  </si>
  <si>
    <t>OÜ Cristella VT varustuskindluse investeeringud</t>
  </si>
  <si>
    <t>OÜ Ebavere Graanul</t>
  </si>
  <si>
    <t>Ebavere Graanul OÜ PV BESS projekt</t>
  </si>
  <si>
    <t>OÜ J.Roots Timber</t>
  </si>
  <si>
    <t>OÜ J. Roots Timber varustuskindluse investeeringud</t>
  </si>
  <si>
    <t>Jazz Selvepesulad OÜ energiatõhususe toetuse taotlus väljaspool Tallinnat ja Harjumaad</t>
  </si>
  <si>
    <t>Karupesa hotelli energia varustuskindluse suurendamine</t>
  </si>
  <si>
    <t>OÜ LEKU METALL</t>
  </si>
  <si>
    <t>Tootmishoone Paide Jaama 6 akupank</t>
  </si>
  <si>
    <t>Päikesepaneelide soetamine</t>
  </si>
  <si>
    <t>Salvestite soetamine</t>
  </si>
  <si>
    <t>Ohaka päikeseelektrijaam</t>
  </si>
  <si>
    <t>Rehepapi 2 Generaatori asendamine peakaitsme tõstmisega</t>
  </si>
  <si>
    <t>OÜ Print Best</t>
  </si>
  <si>
    <t>Print Best OÜ varustuskindluse investeeringud</t>
  </si>
  <si>
    <t>Salvestusvarustuse paigaldamine Ravila Mõisas 2</t>
  </si>
  <si>
    <t>Elektritõstukite soetamine</t>
  </si>
  <si>
    <t>OÜ Sapronen</t>
  </si>
  <si>
    <t>OÜ Sapronen varustuskindluse investeeringud</t>
  </si>
  <si>
    <t>Soleest OÜ päikesepark ja akusalvestus</t>
  </si>
  <si>
    <t>OÜ TEH-AG PARTNER</t>
  </si>
  <si>
    <t>päikesepargi rajamine</t>
  </si>
  <si>
    <t>OÜ Thermoarena</t>
  </si>
  <si>
    <t>OÜ Thermoarena varustuskindluse investeeringud</t>
  </si>
  <si>
    <t>OÜ Vara Saeveski</t>
  </si>
  <si>
    <t>OÜ Vara Saeveski varustuskindluse investeeringud</t>
  </si>
  <si>
    <t>OÜ VEOKIREMONT</t>
  </si>
  <si>
    <t>Veokiremont ettevõtja varustuskindluse parendamine</t>
  </si>
  <si>
    <t>OÜ Via 3L</t>
  </si>
  <si>
    <t>OÜ Via 3L varustuskindluse investeeringud</t>
  </si>
  <si>
    <t>Viibergi OÜ varustuskindluse toetusprojekt</t>
  </si>
  <si>
    <t>Rootsi Mööbel Harjumaal asuvate tootmisüksuste varustuskindluse tagamine</t>
  </si>
  <si>
    <t>Rootsi Mööbel varustuskindluse tagamine - Viljandimaa</t>
  </si>
  <si>
    <t>Ruukki Products AS Turba tn 15 varustuskindluse investeering</t>
  </si>
  <si>
    <t>Päikesepaneelide pargi soetamine</t>
  </si>
  <si>
    <t>Energiasalvestuslahendused Hansu teele.</t>
  </si>
  <si>
    <t>Shroomwell OÜ taastuvenergia projekt</t>
  </si>
  <si>
    <t>Sparker OÜ</t>
  </si>
  <si>
    <t>PlasmaPro OÜ varustuskindluse investeeringud</t>
  </si>
  <si>
    <t>Varustuskindluse parandamine Lihula ja Kunda Südamekodus</t>
  </si>
  <si>
    <t>Energia varustuskindluse parandamiseks seadme ostmine</t>
  </si>
  <si>
    <t>Tabivere Soojus</t>
  </si>
  <si>
    <t>Tarmeko Spoon OÜ</t>
  </si>
  <si>
    <t>AS Tarmeko Spoon varustuskindluse investeeringud</t>
  </si>
  <si>
    <t>Energia varustuskindluse parandamine Tartu Südamekodus</t>
  </si>
  <si>
    <t>Tennisekeskus OÜ</t>
  </si>
  <si>
    <t>Tennisekeskus OÜ varustuskindluse tõstmine elektri salvestusseadmete soetamise kaudu</t>
  </si>
  <si>
    <t>Künka Äri ja tootmishoone</t>
  </si>
  <si>
    <t>Akupanga ja seonduvate seadmete soetamine ja paigaldus Pidula kalakasvatuse kinnistul</t>
  </si>
  <si>
    <t>Üle 400 kW akupanga soetus ja paigaldus Pidula Kalakasvatuse kinnistule</t>
  </si>
  <si>
    <t>Universal Industries Osaühing</t>
  </si>
  <si>
    <t>Universal Industries Varustuskindluse tagamine</t>
  </si>
  <si>
    <t>Küttesüsteemi rekonstrueerimine ja efektiivistamie Kraavi tee 1</t>
  </si>
  <si>
    <t>Loomäe tee 5 akusalvestus</t>
  </si>
  <si>
    <t>Graniidi tee 4 akusalvestus</t>
  </si>
  <si>
    <t>VTM Pluss varustuskindluse suurendamine 3</t>
  </si>
  <si>
    <t>VTM Pluss varustuskindluse suurendamine</t>
  </si>
  <si>
    <t>Ettevõtte energiavarustuse üleminek taastuvenergiale ja varustuskindluse parendamine</t>
  </si>
  <si>
    <t>20.1</t>
  </si>
  <si>
    <t>93.1</t>
  </si>
  <si>
    <t>42.1</t>
  </si>
  <si>
    <t>29.3</t>
  </si>
  <si>
    <t>17.2</t>
  </si>
  <si>
    <t>23.6</t>
  </si>
  <si>
    <t>10.7</t>
  </si>
  <si>
    <t>231599/2400028</t>
  </si>
  <si>
    <t>Airok OÜ</t>
  </si>
  <si>
    <t xml:space="preserve">Komisjoni teatise jaotis 2.1 "Piiratud abisummad"  </t>
  </si>
  <si>
    <t>SA.110542</t>
  </si>
  <si>
    <t>231599/2400026</t>
  </si>
  <si>
    <t>231599/2400027</t>
  </si>
  <si>
    <t>231599/2400025</t>
  </si>
  <si>
    <t>231599/2400024</t>
  </si>
  <si>
    <t>231599/2400022</t>
  </si>
  <si>
    <t>231599/2400023</t>
  </si>
  <si>
    <t>231599/2400021</t>
  </si>
  <si>
    <t>231599/2400019</t>
  </si>
  <si>
    <t>231599/2400020</t>
  </si>
  <si>
    <t>231599/2400017</t>
  </si>
  <si>
    <t>231599/2400018</t>
  </si>
  <si>
    <t>231599/2400016</t>
  </si>
  <si>
    <t>231599/2400015</t>
  </si>
  <si>
    <t>231599/2400014</t>
  </si>
  <si>
    <t>231599/2400012</t>
  </si>
  <si>
    <t>231599/2400013</t>
  </si>
  <si>
    <t>52.1</t>
  </si>
  <si>
    <t>231599/2400011</t>
  </si>
  <si>
    <t>231599/2400006</t>
  </si>
  <si>
    <t>231599/2400007</t>
  </si>
  <si>
    <t>231599/2400005</t>
  </si>
  <si>
    <t>231599/2400003</t>
  </si>
  <si>
    <t>231599/2400004</t>
  </si>
  <si>
    <t>231599/2400008</t>
  </si>
  <si>
    <t>231599/2400010</t>
  </si>
  <si>
    <t>231599/2400002</t>
  </si>
  <si>
    <t>231599/2400001</t>
  </si>
  <si>
    <t>231599/2400009</t>
  </si>
  <si>
    <t>231574/2300017</t>
  </si>
  <si>
    <t xml:space="preserve">SA.109165 </t>
  </si>
  <si>
    <t>231574/2300018</t>
  </si>
  <si>
    <t>231574/2300016</t>
  </si>
  <si>
    <t>231574/2300015</t>
  </si>
  <si>
    <t>231574/2300013</t>
  </si>
  <si>
    <t>231574/2300014</t>
  </si>
  <si>
    <t>231574/2300012</t>
  </si>
  <si>
    <t>231574/2300010</t>
  </si>
  <si>
    <t>231574/2300011</t>
  </si>
  <si>
    <t>231574/2300008</t>
  </si>
  <si>
    <t>231574/2300009</t>
  </si>
  <si>
    <t>231574/2300006</t>
  </si>
  <si>
    <t>231574/2300007</t>
  </si>
  <si>
    <t>231574/2300005</t>
  </si>
  <si>
    <t>231574/2300003</t>
  </si>
  <si>
    <t>231574/2300004</t>
  </si>
  <si>
    <t>231574/2300002</t>
  </si>
  <si>
    <t>231574/2300001</t>
  </si>
  <si>
    <t>Aasta</t>
  </si>
  <si>
    <t>231540/2500064</t>
  </si>
  <si>
    <t>Osaühing CONTRACTOR</t>
  </si>
  <si>
    <t>Column Labels</t>
  </si>
  <si>
    <t>Row Labels</t>
  </si>
  <si>
    <t>Grand Total</t>
  </si>
  <si>
    <t>Column1</t>
  </si>
  <si>
    <t>Unikaalne tähis</t>
  </si>
  <si>
    <t>Sum of Antud (otsustatud) abi summa</t>
  </si>
  <si>
    <t>Vigane 1</t>
  </si>
  <si>
    <t>Vigane 2</t>
  </si>
  <si>
    <t>Vigane 3</t>
  </si>
  <si>
    <t>Vigane 4</t>
  </si>
  <si>
    <t>Vigane 5</t>
  </si>
  <si>
    <t>Vigane 7</t>
  </si>
  <si>
    <t>Vigane 6</t>
  </si>
  <si>
    <t>Vigane 8</t>
  </si>
  <si>
    <t>Vigane 9</t>
  </si>
  <si>
    <t>Vigane 10</t>
  </si>
  <si>
    <t>Vigane 12</t>
  </si>
  <si>
    <t>Vigane 11</t>
  </si>
  <si>
    <t>Vigane 13</t>
  </si>
  <si>
    <t>Vigane 14</t>
  </si>
  <si>
    <t>Investeering</t>
  </si>
  <si>
    <t>2023</t>
  </si>
  <si>
    <t>2024</t>
  </si>
  <si>
    <t>2025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</si>
  <si>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</si>
  <si>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</si>
  <si>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</si>
  <si>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</si>
  <si>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</si>
  <si>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</si>
  <si>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</si>
  <si>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</si>
  <si>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</si>
  <si>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</si>
  <si>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</si>
  <si>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</si>
  <si>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Average of Antud (otsustatud) abi summa</t>
  </si>
  <si>
    <t>Count of Antud (otsustatud) abi summa</t>
  </si>
  <si>
    <t>Toetusmäär</t>
  </si>
  <si>
    <t>Investeeringu summa</t>
  </si>
  <si>
    <t>PV, kW</t>
  </si>
  <si>
    <t>Aku, kWh</t>
  </si>
  <si>
    <t>Tõstuk, tk</t>
  </si>
  <si>
    <t>UA/VTA/GE</t>
  </si>
  <si>
    <t>PV pargi tasuvusaeg</t>
  </si>
  <si>
    <t>Kuu</t>
  </si>
  <si>
    <t>PV</t>
  </si>
  <si>
    <t xml:space="preserve">KOMISJONI TEATIS Riigiabimeetmete ajutine kriisi -ja üleminekuraamistik majanduse toetamiseks pärast Venemaa kallaletungi Ukrainale &gt;&gt; Komisjoni teatise jaotis 2.1 "Piiratud abisummad"  </t>
  </si>
  <si>
    <t>PV, aku, tõstuk</t>
  </si>
  <si>
    <t>Muu &gt;&gt; Muu</t>
  </si>
  <si>
    <t>PV+aku</t>
  </si>
  <si>
    <t>PV, tõstuk</t>
  </si>
  <si>
    <t>2150 </t>
  </si>
  <si>
    <t>PV, aku, tõstuk, küttesüsteem</t>
  </si>
  <si>
    <t>Unikaalne kood</t>
  </si>
  <si>
    <t>Hinnanguline aastatoodang, MWh/a</t>
  </si>
  <si>
    <t>PV pargi tasuvusaeg2</t>
  </si>
  <si>
    <t>PV toetus</t>
  </si>
  <si>
    <t>PV investeering</t>
  </si>
  <si>
    <t>PV, kW2</t>
  </si>
  <si>
    <t>Toetus, €/kW</t>
  </si>
  <si>
    <t>Investeering, €/kW</t>
  </si>
  <si>
    <t>Eluea toodang, MWh</t>
  </si>
  <si>
    <t>Toetus, €/MWh</t>
  </si>
  <si>
    <t>Kokku</t>
  </si>
  <si>
    <t>Keskmine</t>
  </si>
  <si>
    <t>Summa</t>
  </si>
  <si>
    <t>PV võimsus, kW</t>
  </si>
  <si>
    <t>Eluiga, a</t>
  </si>
  <si>
    <t>PV investeering, €</t>
  </si>
  <si>
    <t>PV toetus, €</t>
  </si>
  <si>
    <t>RAHASTATUD PROJEKTID</t>
  </si>
  <si>
    <t>Pärast eelarve ammendumist esitatud taotlused</t>
  </si>
  <si>
    <t>Aastase toodangu kasv 1 € toetuse kohta, MWh</t>
  </si>
  <si>
    <t>Antud toetused, €</t>
  </si>
  <si>
    <t>Investeering, €</t>
  </si>
  <si>
    <t>Keskmine toetusmäär, %</t>
  </si>
  <si>
    <t>Toetatud projektid, tk</t>
  </si>
  <si>
    <t>Eluea toodangu kasv 1 € toetuse kohta, MWh</t>
  </si>
  <si>
    <t>PV toodang, MWh/a</t>
  </si>
  <si>
    <t>PV toodang eluea jooksul, MWh</t>
  </si>
  <si>
    <t>aku</t>
  </si>
  <si>
    <t>aku, tõstuk</t>
  </si>
  <si>
    <t>Aku toetus</t>
  </si>
  <si>
    <t>Aku investeering</t>
  </si>
  <si>
    <t>Aku kWh</t>
  </si>
  <si>
    <t>Toetus, €/kWh</t>
  </si>
  <si>
    <t>Investeering, €/kWh</t>
  </si>
  <si>
    <t>Toetus, €/MWh9</t>
  </si>
  <si>
    <t>VK1</t>
  </si>
  <si>
    <t>VK2</t>
  </si>
  <si>
    <t>VK3</t>
  </si>
  <si>
    <t>VK4</t>
  </si>
  <si>
    <t>VK5</t>
  </si>
  <si>
    <t>VK6</t>
  </si>
  <si>
    <t>VK7</t>
  </si>
  <si>
    <t>VK8</t>
  </si>
  <si>
    <t>VK9</t>
  </si>
  <si>
    <t>VK10</t>
  </si>
  <si>
    <t>VK11</t>
  </si>
  <si>
    <t>VK12</t>
  </si>
  <si>
    <t>VK13</t>
  </si>
  <si>
    <t>VK14</t>
  </si>
  <si>
    <t>VK15</t>
  </si>
  <si>
    <t>VK16</t>
  </si>
  <si>
    <t>VK17</t>
  </si>
  <si>
    <t>VK18</t>
  </si>
  <si>
    <t>VK19</t>
  </si>
  <si>
    <t>VK20</t>
  </si>
  <si>
    <t>VK21</t>
  </si>
  <si>
    <t>VK22</t>
  </si>
  <si>
    <t>VK23</t>
  </si>
  <si>
    <t>VK24</t>
  </si>
  <si>
    <t>VK25</t>
  </si>
  <si>
    <t>VK26</t>
  </si>
  <si>
    <t>VK27</t>
  </si>
  <si>
    <t>VK28</t>
  </si>
  <si>
    <t>VK29</t>
  </si>
  <si>
    <t>VK30</t>
  </si>
  <si>
    <t>VK31</t>
  </si>
  <si>
    <t>VK32</t>
  </si>
  <si>
    <t>Aku toetus, €</t>
  </si>
  <si>
    <t>Aku investeering, €</t>
  </si>
  <si>
    <t>Aku mahutavus, MWh</t>
  </si>
  <si>
    <t>Eluea salvestusmahu kasv 1 € toetuse kohta, MWh</t>
  </si>
  <si>
    <t>ENERGIA SALVESTAMINE TOETATUD EURO KOHTA</t>
  </si>
  <si>
    <t>Elektri salvestamine aastas, MWh (900 tsüklit)</t>
  </si>
  <si>
    <t>Salvestatud elekter eluea jooksul, MWh</t>
  </si>
  <si>
    <t>TÄIENDAVA RAHASTUSE LEIDMISE MÕJU ENERGIA SALVESTAMISELE</t>
  </si>
  <si>
    <t>Tõstuk toetus</t>
  </si>
  <si>
    <t>Hinnanguline salvestusvõimekus aastas, MWh/a7</t>
  </si>
  <si>
    <t>Eluea salvestus, MWh8</t>
  </si>
  <si>
    <t>Tõstuk investeering</t>
  </si>
  <si>
    <t>ELEKTRIFITSEERIMINE</t>
  </si>
  <si>
    <t>Elektrifitseerimise toetus, €</t>
  </si>
  <si>
    <t>TAASTUVENERGIA TOODANG TOETATUD EURO KOHTA</t>
  </si>
  <si>
    <t>TÄIENDAVA RAHASTUSE LEIDMISE MÕJU TAASTUVENERGIA TOODANGULE</t>
  </si>
  <si>
    <t>Tõstuk</t>
  </si>
  <si>
    <t>tõstuk</t>
  </si>
  <si>
    <t>kraana</t>
  </si>
  <si>
    <t>VK33</t>
  </si>
  <si>
    <t>VK34</t>
  </si>
  <si>
    <t>VK35</t>
  </si>
  <si>
    <t>VK36</t>
  </si>
  <si>
    <t>VK37</t>
  </si>
  <si>
    <t>VK38</t>
  </si>
  <si>
    <t>VK39</t>
  </si>
  <si>
    <t>VK40</t>
  </si>
  <si>
    <t>VK41</t>
  </si>
  <si>
    <t>VK42</t>
  </si>
  <si>
    <t>Elektrifitseerimise investeering, €</t>
  </si>
  <si>
    <t>Aastase salvestusmahu kasv 1 € toetuse kohta, MWh</t>
  </si>
  <si>
    <t>Masinate arv, tk</t>
  </si>
  <si>
    <t>Toetus masina kohta, €</t>
  </si>
  <si>
    <t>Potentsiaalselt soetamata jäävad masinad, tk</t>
  </si>
  <si>
    <t>Kaalutud toetus salvestatud energiaühiku kohta, €/MWh</t>
  </si>
  <si>
    <t>Kaalutud toetus toodetud energiaühiku kohta, €/MWh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</si>
</sst>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"/>
  </numFmts>
  <fonts count="16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indexed="8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theme="1"/>
      <name val="Aptos Narrow"/>
      <family val="2"/>
      <charset val="186"/>
      <scheme val="minor"/>
    </font>
    <font>
      <sz val="11"/>
      <color rgb="FF006100"/>
      <name val="Aptos Narrow"/>
      <family val="2"/>
      <charset val="186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C6EFCE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indexed="64"/>
      </bottom>
      <diagonal/>
    </border>
    <border>
      <left style="thin">
        <color theme="4" tint="0.39997558519241921"/>
      </left>
      <right/>
      <top/>
      <bottom/>
      <diagonal/>
    </border>
  </borders>
  <cellStyleXfs count="7">
    <xf numFmtId="0" fontId="0" fillId="0" borderId="0"/>
    <xf numFmtId="9" fontId="3" fillId="0" borderId="0" applyFont="0" applyFill="0" applyBorder="0" applyAlignment="0" applyProtection="0"/>
    <xf numFmtId="0" fontId="4" fillId="0" borderId="0"/>
    <xf numFmtId="0" fontId="10" fillId="8" borderId="0" applyNumberFormat="0" applyBorder="0" applyAlignment="0" applyProtection="0"/>
    <xf numFmtId="0" fontId="10" fillId="0" borderId="0"/>
    <xf numFmtId="0" fontId="11" fillId="7" borderId="0" applyNumberFormat="0" applyBorder="0" applyAlignment="0" applyProtection="0"/>
    <xf numFmtId="43" fontId="3" fillId="0" borderId="0" applyFont="0" applyFill="0" applyBorder="0" applyAlignment="0" applyProtection="0"/>
  </cellStyleXfs>
  <cellXfs count="140">
    <xf numFmtId="0" fontId="0" fillId="0" borderId="0" xfId="0"/>
    <xf numFmtId="0" fontId="4" fillId="0" borderId="0" xfId="2"/>
    <xf numFmtId="4" fontId="4" fillId="0" borderId="0" xfId="2" applyNumberFormat="1"/>
    <xf numFmtId="0" fontId="0" fillId="2" borderId="0" xfId="0" applyFill="1"/>
    <xf numFmtId="0" fontId="6" fillId="3" borderId="5" xfId="2" applyFont="1" applyFill="1" applyBorder="1"/>
    <xf numFmtId="0" fontId="6" fillId="0" borderId="5" xfId="2" applyFont="1" applyBorder="1"/>
    <xf numFmtId="49" fontId="2" fillId="3" borderId="6" xfId="0" applyNumberFormat="1" applyFont="1" applyFill="1" applyBorder="1" applyAlignment="1">
      <alignment wrapText="1"/>
    </xf>
    <xf numFmtId="0" fontId="6" fillId="0" borderId="6" xfId="2" applyFont="1" applyBorder="1"/>
    <xf numFmtId="0" fontId="7" fillId="4" borderId="4" xfId="2" applyFont="1" applyFill="1" applyBorder="1"/>
    <xf numFmtId="0" fontId="7" fillId="4" borderId="5" xfId="2" applyFont="1" applyFill="1" applyBorder="1"/>
    <xf numFmtId="0" fontId="7" fillId="4" borderId="6" xfId="2" applyFont="1" applyFill="1" applyBorder="1"/>
    <xf numFmtId="0" fontId="6" fillId="3" borderId="4" xfId="2" applyFont="1" applyFill="1" applyBorder="1"/>
    <xf numFmtId="0" fontId="6" fillId="3" borderId="6" xfId="2" applyFont="1" applyFill="1" applyBorder="1"/>
    <xf numFmtId="0" fontId="6" fillId="0" borderId="4" xfId="2" applyFont="1" applyBorder="1"/>
    <xf numFmtId="49" fontId="2" fillId="0" borderId="6" xfId="0" applyNumberFormat="1" applyFont="1" applyBorder="1" applyAlignment="1">
      <alignment wrapText="1"/>
    </xf>
    <xf numFmtId="0" fontId="6" fillId="3" borderId="2" xfId="2" applyFont="1" applyFill="1" applyBorder="1"/>
    <xf numFmtId="0" fontId="6" fillId="3" borderId="1" xfId="2" applyFont="1" applyFill="1" applyBorder="1"/>
    <xf numFmtId="0" fontId="6" fillId="3" borderId="3" xfId="2" applyFont="1" applyFill="1" applyBorder="1"/>
    <xf numFmtId="0" fontId="0" fillId="2" borderId="0" xfId="0" applyFill="1" applyAlignment="1">
      <alignment wrapText="1"/>
    </xf>
    <xf numFmtId="14" fontId="2" fillId="6" borderId="5" xfId="0" applyNumberFormat="1" applyFont="1" applyFill="1" applyBorder="1" applyAlignment="1">
      <alignment wrapText="1"/>
    </xf>
    <xf numFmtId="1" fontId="2" fillId="6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3" fontId="2" fillId="2" borderId="5" xfId="0" applyNumberFormat="1" applyFont="1" applyFill="1" applyBorder="1" applyAlignment="1">
      <alignment wrapText="1"/>
    </xf>
    <xf numFmtId="14" fontId="2" fillId="2" borderId="5" xfId="0" applyNumberFormat="1" applyFont="1" applyFill="1" applyBorder="1" applyAlignment="1">
      <alignment wrapText="1"/>
    </xf>
    <xf numFmtId="1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/>
    <xf numFmtId="49" fontId="2" fillId="6" borderId="5" xfId="0" applyNumberFormat="1" applyFont="1" applyFill="1" applyBorder="1" applyAlignment="1">
      <alignment wrapText="1"/>
    </xf>
    <xf numFmtId="0" fontId="2" fillId="6" borderId="5" xfId="0" applyFont="1" applyFill="1" applyBorder="1" applyAlignment="1">
      <alignment wrapText="1"/>
    </xf>
    <xf numFmtId="3" fontId="2" fillId="6" borderId="5" xfId="0" applyNumberFormat="1" applyFont="1" applyFill="1" applyBorder="1" applyAlignment="1">
      <alignment wrapText="1"/>
    </xf>
    <xf numFmtId="0" fontId="2" fillId="6" borderId="5" xfId="0" applyFont="1" applyFill="1" applyBorder="1"/>
    <xf numFmtId="0" fontId="6" fillId="6" borderId="5" xfId="2" applyFont="1" applyFill="1" applyBorder="1"/>
    <xf numFmtId="0" fontId="6" fillId="2" borderId="5" xfId="2" applyFont="1" applyFill="1" applyBorder="1"/>
    <xf numFmtId="3" fontId="2" fillId="6" borderId="5" xfId="0" applyNumberFormat="1" applyFont="1" applyFill="1" applyBorder="1"/>
    <xf numFmtId="3" fontId="2" fillId="2" borderId="5" xfId="0" applyNumberFormat="1" applyFont="1" applyFill="1" applyBorder="1"/>
    <xf numFmtId="14" fontId="2" fillId="2" borderId="5" xfId="0" applyNumberFormat="1" applyFont="1" applyFill="1" applyBorder="1"/>
    <xf numFmtId="14" fontId="2" fillId="6" borderId="5" xfId="0" applyNumberFormat="1" applyFont="1" applyFill="1" applyBorder="1"/>
    <xf numFmtId="0" fontId="2" fillId="2" borderId="1" xfId="0" applyFont="1" applyFill="1" applyBorder="1"/>
    <xf numFmtId="3" fontId="2" fillId="2" borderId="1" xfId="0" applyNumberFormat="1" applyFont="1" applyFill="1" applyBorder="1"/>
    <xf numFmtId="14" fontId="2" fillId="2" borderId="1" xfId="0" applyNumberFormat="1" applyFont="1" applyFill="1" applyBorder="1"/>
    <xf numFmtId="1" fontId="2" fillId="2" borderId="1" xfId="0" applyNumberFormat="1" applyFont="1" applyFill="1" applyBorder="1" applyAlignment="1">
      <alignment wrapText="1"/>
    </xf>
    <xf numFmtId="3" fontId="0" fillId="2" borderId="0" xfId="0" applyNumberFormat="1" applyFill="1"/>
    <xf numFmtId="1" fontId="0" fillId="2" borderId="0" xfId="0" applyNumberFormat="1" applyFill="1"/>
    <xf numFmtId="4" fontId="0" fillId="2" borderId="0" xfId="0" applyNumberFormat="1" applyFill="1"/>
    <xf numFmtId="0" fontId="8" fillId="2" borderId="0" xfId="0" applyFont="1" applyFill="1"/>
    <xf numFmtId="0" fontId="0" fillId="2" borderId="0" xfId="0" applyFill="1" applyAlignment="1">
      <alignment horizontal="left"/>
    </xf>
    <xf numFmtId="9" fontId="0" fillId="2" borderId="0" xfId="1" applyFont="1" applyFill="1"/>
    <xf numFmtId="9" fontId="6" fillId="3" borderId="5" xfId="1" applyFont="1" applyFill="1" applyBorder="1" applyAlignment="1"/>
    <xf numFmtId="9" fontId="7" fillId="4" borderId="5" xfId="1" applyFont="1" applyFill="1" applyBorder="1" applyAlignment="1"/>
    <xf numFmtId="9" fontId="6" fillId="0" borderId="5" xfId="1" applyFont="1" applyBorder="1" applyAlignment="1"/>
    <xf numFmtId="9" fontId="6" fillId="3" borderId="1" xfId="1" applyFont="1" applyFill="1" applyBorder="1" applyAlignment="1"/>
    <xf numFmtId="9" fontId="4" fillId="0" borderId="0" xfId="1" applyFont="1"/>
    <xf numFmtId="9" fontId="2" fillId="2" borderId="5" xfId="1" applyFont="1" applyFill="1" applyBorder="1" applyAlignment="1">
      <alignment wrapText="1"/>
    </xf>
    <xf numFmtId="9" fontId="2" fillId="6" borderId="5" xfId="1" applyFont="1" applyFill="1" applyBorder="1" applyAlignment="1">
      <alignment wrapText="1"/>
    </xf>
    <xf numFmtId="9" fontId="2" fillId="6" borderId="5" xfId="1" applyFont="1" applyFill="1" applyBorder="1"/>
    <xf numFmtId="9" fontId="2" fillId="2" borderId="5" xfId="1" applyFont="1" applyFill="1" applyBorder="1"/>
    <xf numFmtId="9" fontId="2" fillId="2" borderId="1" xfId="1" applyFont="1" applyFill="1" applyBorder="1"/>
    <xf numFmtId="49" fontId="2" fillId="2" borderId="5" xfId="0" applyNumberFormat="1" applyFont="1" applyFill="1" applyBorder="1" applyAlignment="1">
      <alignment horizontal="right" wrapText="1"/>
    </xf>
    <xf numFmtId="0" fontId="1" fillId="2" borderId="5" xfId="0" applyFont="1" applyFill="1" applyBorder="1"/>
    <xf numFmtId="0" fontId="12" fillId="2" borderId="0" xfId="4" applyFont="1" applyFill="1"/>
    <xf numFmtId="0" fontId="12" fillId="2" borderId="0" xfId="5" applyFont="1" applyFill="1"/>
    <xf numFmtId="0" fontId="12" fillId="2" borderId="0" xfId="4" applyFont="1" applyFill="1" applyAlignment="1">
      <alignment horizontal="center"/>
    </xf>
    <xf numFmtId="2" fontId="12" fillId="2" borderId="0" xfId="4" applyNumberFormat="1" applyFont="1" applyFill="1"/>
    <xf numFmtId="3" fontId="0" fillId="9" borderId="0" xfId="0" applyNumberFormat="1" applyFill="1"/>
    <xf numFmtId="3" fontId="8" fillId="9" borderId="0" xfId="0" applyNumberFormat="1" applyFont="1" applyFill="1"/>
    <xf numFmtId="164" fontId="0" fillId="2" borderId="0" xfId="0" applyNumberFormat="1" applyFill="1"/>
    <xf numFmtId="3" fontId="0" fillId="9" borderId="0" xfId="0" applyNumberFormat="1" applyFill="1" applyAlignment="1">
      <alignment horizontal="center" vertical="center"/>
    </xf>
    <xf numFmtId="49" fontId="1" fillId="6" borderId="5" xfId="0" applyNumberFormat="1" applyFont="1" applyFill="1" applyBorder="1" applyAlignment="1">
      <alignment wrapText="1"/>
    </xf>
    <xf numFmtId="49" fontId="2" fillId="2" borderId="4" xfId="0" applyNumberFormat="1" applyFont="1" applyFill="1" applyBorder="1" applyAlignment="1">
      <alignment wrapText="1"/>
    </xf>
    <xf numFmtId="49" fontId="2" fillId="6" borderId="4" xfId="0" applyNumberFormat="1" applyFont="1" applyFill="1" applyBorder="1" applyAlignment="1">
      <alignment wrapText="1"/>
    </xf>
    <xf numFmtId="0" fontId="2" fillId="6" borderId="4" xfId="0" applyFont="1" applyFill="1" applyBorder="1"/>
    <xf numFmtId="0" fontId="2" fillId="2" borderId="4" xfId="0" applyFont="1" applyFill="1" applyBorder="1"/>
    <xf numFmtId="0" fontId="2" fillId="2" borderId="2" xfId="0" applyFont="1" applyFill="1" applyBorder="1"/>
    <xf numFmtId="0" fontId="2" fillId="2" borderId="6" xfId="0" applyFont="1" applyFill="1" applyBorder="1"/>
    <xf numFmtId="0" fontId="2" fillId="6" borderId="6" xfId="0" applyFont="1" applyFill="1" applyBorder="1"/>
    <xf numFmtId="0" fontId="2" fillId="2" borderId="3" xfId="0" applyFont="1" applyFill="1" applyBorder="1"/>
    <xf numFmtId="0" fontId="5" fillId="5" borderId="4" xfId="0" applyFont="1" applyFill="1" applyBorder="1" applyAlignment="1">
      <alignment wrapText="1"/>
    </xf>
    <xf numFmtId="0" fontId="5" fillId="5" borderId="5" xfId="0" applyFont="1" applyFill="1" applyBorder="1" applyAlignment="1">
      <alignment wrapText="1"/>
    </xf>
    <xf numFmtId="1" fontId="5" fillId="5" borderId="5" xfId="0" applyNumberFormat="1" applyFont="1" applyFill="1" applyBorder="1" applyAlignment="1">
      <alignment wrapText="1"/>
    </xf>
    <xf numFmtId="0" fontId="5" fillId="5" borderId="6" xfId="0" applyFont="1" applyFill="1" applyBorder="1" applyAlignment="1">
      <alignment wrapText="1"/>
    </xf>
    <xf numFmtId="0" fontId="13" fillId="2" borderId="4" xfId="3" applyFont="1" applyFill="1" applyBorder="1"/>
    <xf numFmtId="0" fontId="13" fillId="2" borderId="5" xfId="3" applyFont="1" applyFill="1" applyBorder="1"/>
    <xf numFmtId="0" fontId="13" fillId="2" borderId="5" xfId="3" applyFont="1" applyFill="1" applyBorder="1" applyAlignment="1">
      <alignment horizontal="center"/>
    </xf>
    <xf numFmtId="0" fontId="15" fillId="2" borderId="5" xfId="3" applyFont="1" applyFill="1" applyBorder="1"/>
    <xf numFmtId="49" fontId="12" fillId="2" borderId="4" xfId="5" applyNumberFormat="1" applyFont="1" applyFill="1" applyBorder="1" applyAlignment="1"/>
    <xf numFmtId="49" fontId="12" fillId="2" borderId="5" xfId="5" applyNumberFormat="1" applyFont="1" applyFill="1" applyBorder="1" applyAlignment="1"/>
    <xf numFmtId="4" fontId="12" fillId="2" borderId="5" xfId="5" applyNumberFormat="1" applyFont="1" applyFill="1" applyBorder="1" applyAlignment="1"/>
    <xf numFmtId="14" fontId="12" fillId="2" borderId="5" xfId="5" applyNumberFormat="1" applyFont="1" applyFill="1" applyBorder="1" applyAlignment="1">
      <alignment horizontal="right"/>
    </xf>
    <xf numFmtId="14" fontId="12" fillId="2" borderId="5" xfId="5" applyNumberFormat="1" applyFont="1" applyFill="1" applyBorder="1" applyAlignment="1"/>
    <xf numFmtId="3" fontId="12" fillId="2" borderId="5" xfId="5" applyNumberFormat="1" applyFont="1" applyFill="1" applyBorder="1" applyAlignment="1">
      <alignment horizontal="center"/>
    </xf>
    <xf numFmtId="49" fontId="12" fillId="2" borderId="5" xfId="5" applyNumberFormat="1" applyFont="1" applyFill="1" applyBorder="1" applyAlignment="1">
      <alignment horizontal="left"/>
    </xf>
    <xf numFmtId="0" fontId="12" fillId="2" borderId="5" xfId="5" applyNumberFormat="1" applyFont="1" applyFill="1" applyBorder="1" applyAlignment="1"/>
    <xf numFmtId="0" fontId="9" fillId="2" borderId="5" xfId="5" applyNumberFormat="1" applyFont="1" applyFill="1" applyBorder="1" applyAlignment="1"/>
    <xf numFmtId="4" fontId="12" fillId="2" borderId="5" xfId="4" applyNumberFormat="1" applyFont="1" applyFill="1" applyBorder="1" applyAlignment="1">
      <alignment horizontal="center"/>
    </xf>
    <xf numFmtId="3" fontId="12" fillId="2" borderId="5" xfId="4" applyNumberFormat="1" applyFont="1" applyFill="1" applyBorder="1" applyAlignment="1">
      <alignment horizontal="center"/>
    </xf>
    <xf numFmtId="0" fontId="12" fillId="2" borderId="5" xfId="4" applyFont="1" applyFill="1" applyBorder="1"/>
    <xf numFmtId="3" fontId="12" fillId="2" borderId="5" xfId="4" applyNumberFormat="1" applyFont="1" applyFill="1" applyBorder="1"/>
    <xf numFmtId="0" fontId="12" fillId="2" borderId="5" xfId="5" applyNumberFormat="1" applyFont="1" applyFill="1" applyBorder="1" applyAlignment="1">
      <alignment horizontal="center"/>
    </xf>
    <xf numFmtId="49" fontId="12" fillId="2" borderId="5" xfId="5" applyNumberFormat="1" applyFont="1" applyFill="1" applyBorder="1" applyAlignment="1">
      <alignment horizontal="center"/>
    </xf>
    <xf numFmtId="4" fontId="12" fillId="2" borderId="0" xfId="4" applyNumberFormat="1" applyFont="1" applyFill="1"/>
    <xf numFmtId="43" fontId="12" fillId="2" borderId="0" xfId="4" applyNumberFormat="1" applyFont="1" applyFill="1"/>
    <xf numFmtId="3" fontId="8" fillId="9" borderId="0" xfId="0" applyNumberFormat="1" applyFont="1" applyFill="1" applyAlignment="1">
      <alignment horizontal="center" vertical="center"/>
    </xf>
    <xf numFmtId="9" fontId="12" fillId="2" borderId="0" xfId="1" applyFont="1" applyFill="1"/>
    <xf numFmtId="4" fontId="12" fillId="2" borderId="0" xfId="4" applyNumberFormat="1" applyFont="1" applyFill="1" applyBorder="1" applyAlignment="1">
      <alignment horizontal="center"/>
    </xf>
    <xf numFmtId="3" fontId="12" fillId="2" borderId="0" xfId="4" applyNumberFormat="1" applyFont="1" applyFill="1" applyBorder="1" applyAlignment="1">
      <alignment horizontal="center"/>
    </xf>
    <xf numFmtId="3" fontId="12" fillId="2" borderId="0" xfId="5" applyNumberFormat="1" applyFont="1" applyFill="1" applyBorder="1" applyAlignment="1">
      <alignment horizontal="center"/>
    </xf>
    <xf numFmtId="0" fontId="9" fillId="2" borderId="5" xfId="5" applyFont="1" applyFill="1" applyBorder="1"/>
    <xf numFmtId="49" fontId="12" fillId="2" borderId="4" xfId="5" applyNumberFormat="1" applyFont="1" applyFill="1" applyBorder="1"/>
    <xf numFmtId="49" fontId="12" fillId="2" borderId="5" xfId="5" applyNumberFormat="1" applyFont="1" applyFill="1" applyBorder="1"/>
    <xf numFmtId="4" fontId="12" fillId="2" borderId="5" xfId="5" applyNumberFormat="1" applyFont="1" applyFill="1" applyBorder="1"/>
    <xf numFmtId="14" fontId="12" fillId="2" borderId="5" xfId="5" applyNumberFormat="1" applyFont="1" applyFill="1" applyBorder="1"/>
    <xf numFmtId="0" fontId="12" fillId="2" borderId="5" xfId="5" applyFont="1" applyFill="1" applyBorder="1" applyAlignment="1">
      <alignment horizontal="center"/>
    </xf>
    <xf numFmtId="0" fontId="12" fillId="2" borderId="5" xfId="5" applyFont="1" applyFill="1" applyBorder="1"/>
    <xf numFmtId="3" fontId="13" fillId="2" borderId="5" xfId="4" applyNumberFormat="1" applyFont="1" applyFill="1" applyBorder="1" applyAlignment="1">
      <alignment horizontal="center"/>
    </xf>
    <xf numFmtId="3" fontId="13" fillId="2" borderId="5" xfId="4" applyNumberFormat="1" applyFont="1" applyFill="1" applyBorder="1"/>
    <xf numFmtId="0" fontId="13" fillId="2" borderId="0" xfId="4" applyFont="1" applyFill="1"/>
    <xf numFmtId="43" fontId="13" fillId="2" borderId="0" xfId="6" applyFont="1" applyFill="1"/>
    <xf numFmtId="43" fontId="13" fillId="2" borderId="0" xfId="6" applyFont="1" applyFill="1" applyAlignment="1">
      <alignment horizontal="right"/>
    </xf>
    <xf numFmtId="0" fontId="12" fillId="2" borderId="0" xfId="5" applyNumberFormat="1" applyFont="1" applyFill="1" applyBorder="1" applyAlignment="1"/>
    <xf numFmtId="0" fontId="9" fillId="2" borderId="0" xfId="5" applyNumberFormat="1" applyFont="1" applyFill="1" applyBorder="1" applyAlignment="1"/>
    <xf numFmtId="0" fontId="12" fillId="2" borderId="0" xfId="4" applyFont="1" applyFill="1" applyBorder="1"/>
    <xf numFmtId="49" fontId="12" fillId="2" borderId="7" xfId="5" applyNumberFormat="1" applyFont="1" applyFill="1" applyBorder="1" applyAlignment="1">
      <alignment horizontal="left"/>
    </xf>
    <xf numFmtId="0" fontId="12" fillId="2" borderId="7" xfId="5" applyFont="1" applyFill="1" applyBorder="1"/>
    <xf numFmtId="3" fontId="12" fillId="2" borderId="7" xfId="4" applyNumberFormat="1" applyFont="1" applyFill="1" applyBorder="1" applyAlignment="1">
      <alignment horizontal="center"/>
    </xf>
    <xf numFmtId="49" fontId="12" fillId="2" borderId="9" xfId="5" applyNumberFormat="1" applyFont="1" applyFill="1" applyBorder="1" applyAlignment="1"/>
    <xf numFmtId="49" fontId="12" fillId="2" borderId="0" xfId="5" applyNumberFormat="1" applyFont="1" applyFill="1" applyBorder="1" applyAlignment="1"/>
    <xf numFmtId="4" fontId="12" fillId="2" borderId="0" xfId="5" applyNumberFormat="1" applyFont="1" applyFill="1" applyBorder="1" applyAlignment="1"/>
    <xf numFmtId="0" fontId="12" fillId="2" borderId="0" xfId="5" applyNumberFormat="1" applyFont="1" applyFill="1" applyBorder="1" applyAlignment="1">
      <alignment horizontal="right"/>
    </xf>
    <xf numFmtId="14" fontId="12" fillId="2" borderId="0" xfId="5" applyNumberFormat="1" applyFont="1" applyFill="1" applyBorder="1" applyAlignment="1"/>
    <xf numFmtId="0" fontId="12" fillId="2" borderId="0" xfId="5" applyNumberFormat="1" applyFont="1" applyFill="1" applyBorder="1" applyAlignment="1">
      <alignment horizontal="center"/>
    </xf>
    <xf numFmtId="49" fontId="12" fillId="2" borderId="0" xfId="5" applyNumberFormat="1" applyFont="1" applyFill="1" applyBorder="1" applyAlignment="1">
      <alignment horizontal="center"/>
    </xf>
    <xf numFmtId="49" fontId="12" fillId="2" borderId="0" xfId="5" applyNumberFormat="1" applyFont="1" applyFill="1" applyBorder="1" applyAlignment="1">
      <alignment horizontal="left"/>
    </xf>
    <xf numFmtId="49" fontId="12" fillId="2" borderId="8" xfId="5" applyNumberFormat="1" applyFont="1" applyFill="1" applyBorder="1"/>
    <xf numFmtId="49" fontId="12" fillId="2" borderId="7" xfId="5" applyNumberFormat="1" applyFont="1" applyFill="1" applyBorder="1"/>
    <xf numFmtId="4" fontId="12" fillId="2" borderId="7" xfId="5" applyNumberFormat="1" applyFont="1" applyFill="1" applyBorder="1"/>
    <xf numFmtId="14" fontId="12" fillId="2" borderId="7" xfId="5" applyNumberFormat="1" applyFont="1" applyFill="1" applyBorder="1" applyAlignment="1">
      <alignment horizontal="right"/>
    </xf>
    <xf numFmtId="14" fontId="12" fillId="2" borderId="7" xfId="5" applyNumberFormat="1" applyFont="1" applyFill="1" applyBorder="1"/>
    <xf numFmtId="0" fontId="12" fillId="2" borderId="7" xfId="5" applyFont="1" applyFill="1" applyBorder="1" applyAlignment="1">
      <alignment horizontal="center"/>
    </xf>
    <xf numFmtId="3" fontId="12" fillId="2" borderId="7" xfId="5" applyNumberFormat="1" applyFont="1" applyFill="1" applyBorder="1" applyAlignment="1">
      <alignment horizontal="center"/>
    </xf>
    <xf numFmtId="49" fontId="12" fillId="2" borderId="7" xfId="5" applyNumberFormat="1" applyFont="1" applyFill="1" applyBorder="1" applyAlignment="1">
      <alignment horizontal="center"/>
    </xf>
  </cellXfs>
  <cellStyles count="7">
    <cellStyle name="40% - Accent1 2" xfId="3" xr:uid="{EDA0D229-0BBC-49D3-AF16-1F3C725DC229}"/>
    <cellStyle name="Comma" xfId="6" builtinId="3"/>
    <cellStyle name="Good 2" xfId="5" xr:uid="{EBC01BB9-6B07-4488-B925-C7A85FF84DD9}"/>
    <cellStyle name="Normal" xfId="0" builtinId="0"/>
    <cellStyle name="Normal 2" xfId="2" xr:uid="{2A3331F4-C779-4723-99F6-B05DD1594F59}"/>
    <cellStyle name="Normal 3" xfId="4" xr:uid="{C8741523-EC57-44C9-8E69-073CAB0642C2}"/>
    <cellStyle name="Per cent" xfId="1" builtinId="5"/>
  </cellStyles>
  <dxfs count="48"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[VK antud toetused.xlsx]Antud abi (kuud)!PivotTable5</c:name>
    <c:fmtId val="2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'Antud abi (kuud)'!$B$3:$B$4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'Antud abi (kuud)'!$A$5:$A$17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'Antud abi (kuud)'!$B$5:$B$17</c:f>
              <c:numCache>
                <c:formatCode>#,##0</c:formatCode>
                <c:ptCount val="12"/>
                <c:pt idx="8">
                  <c:v>123448.9</c:v>
                </c:pt>
                <c:pt idx="9">
                  <c:v>709124.07000000007</c:v>
                </c:pt>
                <c:pt idx="10">
                  <c:v>1358924.06</c:v>
                </c:pt>
                <c:pt idx="11">
                  <c:v>1591622.1700000002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9D-49F4-8DFF-4D5F877DA56B}"/>
            </c:ext>
          </c:extLst>
        </c:ser>
        <c:ser>
          <c:idx val="1"/>
          <c:order val="1"/>
          <c:tx>
            <c:strRef>
              <c:f>'Antud abi (kuud)'!$C$3:$C$4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'Antud abi (kuud)'!$A$5:$A$17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'Antud abi (kuud)'!$C$5:$C$17</c:f>
              <c:numCache>
                <c:formatCode>#,##0</c:formatCode>
                <c:ptCount val="12"/>
                <c:pt idx="0">
                  <c:v>734398.65999999992</c:v>
                </c:pt>
                <c:pt idx="1">
                  <c:v>1209961.04</c:v>
                </c:pt>
                <c:pt idx="2">
                  <c:v>574722.19999999995</c:v>
                </c:pt>
                <c:pt idx="3">
                  <c:v>1524818.4</c:v>
                </c:pt>
                <c:pt idx="4">
                  <c:v>452091.24</c:v>
                </c:pt>
                <c:pt idx="5">
                  <c:v>1067684.22</c:v>
                </c:pt>
                <c:pt idx="6">
                  <c:v>55047</c:v>
                </c:pt>
                <c:pt idx="7">
                  <c:v>89321.600000000006</c:v>
                </c:pt>
                <c:pt idx="8">
                  <c:v>185141.8</c:v>
                </c:pt>
                <c:pt idx="9">
                  <c:v>471903.70999999996</c:v>
                </c:pt>
                <c:pt idx="10">
                  <c:v>282477.78000000003</c:v>
                </c:pt>
                <c:pt idx="11">
                  <c:v>75845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9D-49F4-8DFF-4D5F877DA56B}"/>
            </c:ext>
          </c:extLst>
        </c:ser>
        <c:ser>
          <c:idx val="2"/>
          <c:order val="2"/>
          <c:tx>
            <c:strRef>
              <c:f>'Antud abi (kuud)'!$D$3:$D$4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'Antud abi (kuud)'!$A$5:$A$17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'Antud abi (kuud)'!$D$5:$D$17</c:f>
              <c:numCache>
                <c:formatCode>#,##0</c:formatCode>
                <c:ptCount val="12"/>
                <c:pt idx="0">
                  <c:v>105309.96</c:v>
                </c:pt>
                <c:pt idx="1">
                  <c:v>190332.79999999999</c:v>
                </c:pt>
                <c:pt idx="2">
                  <c:v>1285239.9200000002</c:v>
                </c:pt>
                <c:pt idx="3">
                  <c:v>1078677.3</c:v>
                </c:pt>
                <c:pt idx="4">
                  <c:v>2564963.3199999998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9D-49F4-8DFF-4D5F877DA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49802928"/>
        <c:axId val="199222640"/>
      </c:barChart>
      <c:catAx>
        <c:axId val="194980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222640"/>
        <c:crosses val="autoZero"/>
        <c:auto val="1"/>
        <c:lblAlgn val="ctr"/>
        <c:lblOffset val="100"/>
        <c:noMultiLvlLbl val="0"/>
      </c:catAx>
      <c:valAx>
        <c:axId val="19922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980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[VK antud toetused.xlsx]Keskmine toetus (kuud)!PivotTable6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'Keskmine toetus (kuud)'!$B$3:$B$4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'Keskmine toetus (kuud)'!$A$5:$A$17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'Keskmine toetus (kuud)'!$B$5:$B$17</c:f>
              <c:numCache>
                <c:formatCode>#,##0</c:formatCode>
                <c:ptCount val="12"/>
                <c:pt idx="8">
                  <c:v>41149.633333333331</c:v>
                </c:pt>
                <c:pt idx="9">
                  <c:v>141824.81400000001</c:v>
                </c:pt>
                <c:pt idx="10">
                  <c:v>113243.67166666668</c:v>
                </c:pt>
                <c:pt idx="11">
                  <c:v>106108.14466666667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6-4A86-B120-82E813CEB550}"/>
            </c:ext>
          </c:extLst>
        </c:ser>
        <c:ser>
          <c:idx val="1"/>
          <c:order val="1"/>
          <c:tx>
            <c:strRef>
              <c:f>'Keskmine toetus (kuud)'!$C$3:$C$4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'Keskmine toetus (kuud)'!$A$5:$A$17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'Keskmine toetus (kuud)'!$C$5:$C$17</c:f>
              <c:numCache>
                <c:formatCode>#,##0</c:formatCode>
                <c:ptCount val="12"/>
                <c:pt idx="0">
                  <c:v>122399.77666666666</c:v>
                </c:pt>
                <c:pt idx="1">
                  <c:v>93073.926153846158</c:v>
                </c:pt>
                <c:pt idx="2">
                  <c:v>143680.54999999999</c:v>
                </c:pt>
                <c:pt idx="3">
                  <c:v>152481.84</c:v>
                </c:pt>
                <c:pt idx="4">
                  <c:v>41099.203636363636</c:v>
                </c:pt>
                <c:pt idx="5">
                  <c:v>71178.948000000004</c:v>
                </c:pt>
                <c:pt idx="6">
                  <c:v>18349</c:v>
                </c:pt>
                <c:pt idx="7">
                  <c:v>29773.866666666669</c:v>
                </c:pt>
                <c:pt idx="8">
                  <c:v>61713.933333333327</c:v>
                </c:pt>
                <c:pt idx="9">
                  <c:v>117975.92749999999</c:v>
                </c:pt>
                <c:pt idx="10">
                  <c:v>70619.445000000007</c:v>
                </c:pt>
                <c:pt idx="11">
                  <c:v>25281.666666666668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46-4A86-B120-82E813CEB550}"/>
            </c:ext>
          </c:extLst>
        </c:ser>
        <c:ser>
          <c:idx val="2"/>
          <c:order val="2"/>
          <c:tx>
            <c:strRef>
              <c:f>'Keskmine toetus (kuud)'!$D$3:$D$4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'Keskmine toetus (kuud)'!$A$5:$A$17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'Keskmine toetus (kuud)'!$D$5:$D$17</c:f>
              <c:numCache>
                <c:formatCode>#,##0</c:formatCode>
                <c:ptCount val="12"/>
                <c:pt idx="0">
                  <c:v>26327.49</c:v>
                </c:pt>
                <c:pt idx="1">
                  <c:v>38066.559999999998</c:v>
                </c:pt>
                <c:pt idx="2">
                  <c:v>85682.661333333337</c:v>
                </c:pt>
                <c:pt idx="3">
                  <c:v>67417.331250000003</c:v>
                </c:pt>
                <c:pt idx="4">
                  <c:v>91605.832857142857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46-4A86-B120-82E813CEB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2366303"/>
        <c:axId val="612364863"/>
      </c:barChart>
      <c:catAx>
        <c:axId val="6123663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364863"/>
        <c:crosses val="autoZero"/>
        <c:auto val="1"/>
        <c:lblAlgn val="ctr"/>
        <c:lblOffset val="100"/>
        <c:noMultiLvlLbl val="0"/>
      </c:catAx>
      <c:valAx>
        <c:axId val="612364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3663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[VK antud toetused.xlsx]Toetatud projektid (kuud)!PivotTable7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'Toetatud projektid (kuud)'!$B$3:$B$4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'Toetatud projektid (kuud)'!$A$5:$A$17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'Toetatud projektid (kuud)'!$B$5:$B$17</c:f>
              <c:numCache>
                <c:formatCode>General</c:formatCode>
                <c:ptCount val="12"/>
                <c:pt idx="8">
                  <c:v>3</c:v>
                </c:pt>
                <c:pt idx="9">
                  <c:v>5</c:v>
                </c:pt>
                <c:pt idx="10">
                  <c:v>12</c:v>
                </c:pt>
                <c:pt idx="1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BA-4A3E-9EB0-47A6DADCFE6E}"/>
            </c:ext>
          </c:extLst>
        </c:ser>
        <c:ser>
          <c:idx val="1"/>
          <c:order val="1"/>
          <c:tx>
            <c:strRef>
              <c:f>'Toetatud projektid (kuud)'!$C$3:$C$4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'Toetatud projektid (kuud)'!$A$5:$A$17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'Toetatud projektid (kuud)'!$C$5:$C$17</c:f>
              <c:numCache>
                <c:formatCode>General</c:formatCode>
                <c:ptCount val="12"/>
                <c:pt idx="0">
                  <c:v>6</c:v>
                </c:pt>
                <c:pt idx="1">
                  <c:v>13</c:v>
                </c:pt>
                <c:pt idx="2">
                  <c:v>4</c:v>
                </c:pt>
                <c:pt idx="3">
                  <c:v>10</c:v>
                </c:pt>
                <c:pt idx="4">
                  <c:v>11</c:v>
                </c:pt>
                <c:pt idx="5">
                  <c:v>15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BA-4A3E-9EB0-47A6DADCFE6E}"/>
            </c:ext>
          </c:extLst>
        </c:ser>
        <c:ser>
          <c:idx val="2"/>
          <c:order val="2"/>
          <c:tx>
            <c:strRef>
              <c:f>'Toetatud projektid (kuud)'!$D$3:$D$4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'Toetatud projektid (kuud)'!$A$5:$A$17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'Toetatud projektid (kuud)'!$D$5:$D$17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15</c:v>
                </c:pt>
                <c:pt idx="3">
                  <c:v>16</c:v>
                </c:pt>
                <c:pt idx="4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BA-4A3E-9EB0-47A6DADCFE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91562992"/>
        <c:axId val="1791563472"/>
      </c:barChart>
      <c:catAx>
        <c:axId val="179156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1563472"/>
        <c:crosses val="autoZero"/>
        <c:auto val="1"/>
        <c:lblAlgn val="ctr"/>
        <c:lblOffset val="100"/>
        <c:noMultiLvlLbl val="0"/>
      </c:catAx>
      <c:valAx>
        <c:axId val="179156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1562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3174</xdr:colOff>
      <xdr:row>0</xdr:row>
      <xdr:rowOff>19050</xdr:rowOff>
    </xdr:from>
    <xdr:to>
      <xdr:col>24</xdr:col>
      <xdr:colOff>19050</xdr:colOff>
      <xdr:row>16</xdr:row>
      <xdr:rowOff>161926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2508C58-7190-AB26-3452-78E66D00B9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22225</xdr:rowOff>
    </xdr:from>
    <xdr:to>
      <xdr:col>24</xdr:col>
      <xdr:colOff>600075</xdr:colOff>
      <xdr:row>17</xdr:row>
      <xdr:rowOff>28576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ACBE54-6B5D-706E-A12B-A1F085DD89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0</xdr:row>
      <xdr:rowOff>9524</xdr:rowOff>
    </xdr:from>
    <xdr:to>
      <xdr:col>24</xdr:col>
      <xdr:colOff>9525</xdr:colOff>
      <xdr:row>17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966D94C-329D-177F-54DF-0002FA154B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arja Metstak" refreshedDate="45804.812112384257" createdVersion="8" refreshedVersion="8" minRefreshableVersion="3" recordCount="182" xr:uid="{315AF2FF-416F-4DD3-875F-612264563E3F}">
  <cacheSource type="worksheet">
    <worksheetSource ref="A1:U183" sheet="RTK andmebaas"/>
  </cacheSource>
  <cacheFields count="24">
    <cacheField name="Number" numFmtId="0">
      <sharedItems/>
    </cacheField>
    <cacheField name="Abi saaja nimi" numFmtId="0">
      <sharedItems/>
    </cacheField>
    <cacheField name="Unikaalne tähis" numFmtId="0">
      <sharedItems/>
    </cacheField>
    <cacheField name="Abi saaja registri- või isikukood" numFmtId="0">
      <sharedItems containsSemiMixedTypes="0" containsString="0" containsNumber="1" containsInteger="1" minValue="10004973" maxValue="16483101"/>
    </cacheField>
    <cacheField name="Abi saaja riik" numFmtId="0">
      <sharedItems/>
    </cacheField>
    <cacheField name="Abi saaja liik ja töötajate arv" numFmtId="0">
      <sharedItems/>
    </cacheField>
    <cacheField name="Piirkond, kus abisaaja asub" numFmtId="0">
      <sharedItems/>
    </cacheField>
    <cacheField name="Tegevusala kood" numFmtId="0">
      <sharedItems/>
    </cacheField>
    <cacheField name="Abi nominaalväärtus" numFmtId="0">
      <sharedItems containsBlank="1"/>
    </cacheField>
    <cacheField name="Antud (otsustatud) abi summa" numFmtId="3">
      <sharedItems containsSemiMixedTypes="0" containsString="0" containsNumber="1" minValue="0" maxValue="500000"/>
    </cacheField>
    <cacheField name="Investeering" numFmtId="0">
      <sharedItems containsMixedTypes="1" containsNumber="1" minValue="10257" maxValue="1666666.67"/>
    </cacheField>
    <cacheField name="Abi vorm" numFmtId="0">
      <sharedItems/>
    </cacheField>
    <cacheField name="Abi andmise otsuse kuupäev" numFmtId="14">
      <sharedItems containsSemiMixedTypes="0" containsNonDate="0" containsDate="1" containsString="0" minDate="2023-09-07T00:00:00" maxDate="2025-05-27T00:00:00" count="123">
        <d v="2025-05-26T00:00:00"/>
        <d v="2025-05-23T00:00:00"/>
        <d v="2025-05-22T00:00:00"/>
        <d v="2025-05-19T00:00:00"/>
        <d v="2025-05-16T00:00:00"/>
        <d v="2025-05-14T00:00:00"/>
        <d v="2025-05-13T00:00:00"/>
        <d v="2025-05-09T00:00:00"/>
        <d v="2025-05-08T00:00:00"/>
        <d v="2025-05-07T00:00:00"/>
        <d v="2025-05-05T00:00:00"/>
        <d v="2025-05-04T00:00:00"/>
        <d v="2025-04-30T00:00:00"/>
        <d v="2025-04-29T00:00:00"/>
        <d v="2025-04-28T00:00:00"/>
        <d v="2025-04-24T00:00:00"/>
        <d v="2025-04-23T00:00:00"/>
        <d v="2025-04-22T00:00:00"/>
        <d v="2025-04-17T00:00:00"/>
        <d v="2025-04-15T00:00:00"/>
        <d v="2025-04-09T00:00:00"/>
        <d v="2025-04-08T00:00:00"/>
        <d v="2025-04-04T00:00:00"/>
        <d v="2025-03-28T00:00:00"/>
        <d v="2025-03-26T00:00:00"/>
        <d v="2025-03-25T00:00:00"/>
        <d v="2025-03-24T00:00:00"/>
        <d v="2025-03-21T00:00:00"/>
        <d v="2025-03-20T00:00:00"/>
        <d v="2025-03-19T00:00:00"/>
        <d v="2025-03-13T00:00:00"/>
        <d v="2025-03-04T00:00:00"/>
        <d v="2025-02-28T00:00:00"/>
        <d v="2025-02-27T00:00:00"/>
        <d v="2025-02-26T00:00:00"/>
        <d v="2025-02-25T00:00:00"/>
        <d v="2025-02-22T00:00:00"/>
        <d v="2025-01-23T00:00:00"/>
        <d v="2025-01-15T00:00:00"/>
        <d v="2025-01-10T00:00:00"/>
        <d v="2025-01-02T00:00:00"/>
        <d v="2024-12-31T00:00:00"/>
        <d v="2024-12-27T00:00:00"/>
        <d v="2024-12-13T00:00:00"/>
        <d v="2024-11-26T00:00:00"/>
        <d v="2024-11-18T00:00:00"/>
        <d v="2024-11-14T00:00:00"/>
        <d v="2024-11-09T00:00:00"/>
        <d v="2024-10-29T00:00:00"/>
        <d v="2024-10-25T00:00:00"/>
        <d v="2024-10-16T00:00:00"/>
        <d v="2024-10-05T00:00:00"/>
        <d v="2024-09-17T00:00:00"/>
        <d v="2024-09-16T00:00:00"/>
        <d v="2024-09-05T00:00:00"/>
        <d v="2024-08-30T00:00:00"/>
        <d v="2024-08-19T00:00:00"/>
        <d v="2024-08-09T00:00:00"/>
        <d v="2024-07-31T00:00:00"/>
        <d v="2024-07-19T00:00:00"/>
        <d v="2024-07-02T00:00:00"/>
        <d v="2024-06-28T00:00:00"/>
        <d v="2024-06-25T00:00:00"/>
        <d v="2024-06-18T00:00:00"/>
        <d v="2024-06-14T00:00:00"/>
        <d v="2024-06-07T00:00:00"/>
        <d v="2024-06-05T00:00:00"/>
        <d v="2024-05-21T00:00:00"/>
        <d v="2024-05-10T00:00:00"/>
        <d v="2024-05-07T00:00:00"/>
        <d v="2024-04-30T00:00:00"/>
        <d v="2024-04-29T00:00:00"/>
        <d v="2024-04-16T00:00:00"/>
        <d v="2024-04-10T00:00:00"/>
        <d v="2024-03-09T00:00:00"/>
        <d v="2024-03-07T00:00:00"/>
        <d v="2024-02-28T00:00:00"/>
        <d v="2024-02-23T00:00:00"/>
        <d v="2024-02-20T00:00:00"/>
        <d v="2024-02-19T00:00:00"/>
        <d v="2024-02-16T00:00:00"/>
        <d v="2024-02-01T00:00:00"/>
        <d v="2024-01-12T00:00:00"/>
        <d v="2024-01-04T00:00:00"/>
        <d v="2023-12-15T00:00:00"/>
        <d v="2023-12-07T00:00:00"/>
        <d v="2023-12-05T00:00:00"/>
        <d v="2023-12-01T00:00:00"/>
        <d v="2023-11-25T00:00:00"/>
        <d v="2023-11-21T00:00:00"/>
        <d v="2023-11-17T00:00:00"/>
        <d v="2023-11-16T00:00:00"/>
        <d v="2023-11-14T00:00:00"/>
        <d v="2023-11-03T00:00:00"/>
        <d v="2023-10-23T00:00:00"/>
        <d v="2023-10-20T00:00:00"/>
        <d v="2023-10-10T00:00:00"/>
        <d v="2023-09-07T00:00:00"/>
        <d v="2024-06-29T00:00:00"/>
        <d v="2024-06-19T00:00:00"/>
        <d v="2024-06-06T00:00:00"/>
        <d v="2024-05-31T00:00:00"/>
        <d v="2024-05-24T00:00:00"/>
        <d v="2024-04-17T00:00:00"/>
        <d v="2024-04-15T00:00:00"/>
        <d v="2024-04-09T00:00:00"/>
        <d v="2024-03-26T00:00:00"/>
        <d v="2024-03-17T00:00:00"/>
        <d v="2024-02-05T00:00:00"/>
        <d v="2024-01-31T00:00:00"/>
        <d v="2024-01-30T00:00:00"/>
        <d v="2024-01-23T00:00:00"/>
        <d v="2024-01-11T00:00:00"/>
        <d v="2023-12-28T00:00:00"/>
        <d v="2023-12-26T00:00:00"/>
        <d v="2023-12-22T00:00:00"/>
        <d v="2023-12-20T00:00:00"/>
        <d v="2023-12-18T00:00:00"/>
        <d v="2023-12-13T00:00:00"/>
        <d v="2023-11-24T00:00:00"/>
        <d v="2023-11-15T00:00:00"/>
        <d v="2023-10-25T00:00:00"/>
        <d v="2023-10-01T00:00:00"/>
      </sharedItems>
      <fieldGroup par="23"/>
    </cacheField>
    <cacheField name="Aasta" numFmtId="1">
      <sharedItems containsSemiMixedTypes="0" containsString="0" containsNumber="1" containsInteger="1" minValue="2023" maxValue="2025"/>
    </cacheField>
    <cacheField name="Peaeesmärk ja alameesmärk" numFmtId="0">
      <sharedItems/>
    </cacheField>
    <cacheField name="Siseriiklik õiguslik alus" numFmtId="0">
      <sharedItems/>
    </cacheField>
    <cacheField name="Abi andev asutus" numFmtId="0">
      <sharedItems/>
    </cacheField>
    <cacheField name="Euroopa Komisjoni number" numFmtId="0">
      <sharedItems containsBlank="1"/>
    </cacheField>
    <cacheField name="Abimeetme nr" numFmtId="0">
      <sharedItems containsMixedTypes="1" containsNumber="1" containsInteger="1" minValue="231540" maxValue="231574"/>
    </cacheField>
    <cacheField name="Volitatud üksuse nimi" numFmtId="0">
      <sharedItems containsNonDate="0" containsString="0" containsBlank="1"/>
    </cacheField>
    <cacheField name="Valitud finantsvahendaja nimi" numFmtId="0">
      <sharedItems containsBlank="1"/>
    </cacheField>
    <cacheField name="Months (Abi andmise otsuse kuupäev)" numFmtId="0" databaseField="0">
      <fieldGroup base="12">
        <rangePr groupBy="months" startDate="2023-09-07T00:00:00" endDate="2025-05-27T00:00:00"/>
        <groupItems count="14">
          <s v="&lt;07/09/2023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27/05/2025"/>
        </groupItems>
      </fieldGroup>
    </cacheField>
    <cacheField name="Quarters (Abi andmise otsuse kuupäev)" numFmtId="0" databaseField="0">
      <fieldGroup base="12">
        <rangePr groupBy="quarters" startDate="2023-09-07T00:00:00" endDate="2025-05-27T00:00:00"/>
        <groupItems count="6">
          <s v="&lt;07/09/2023"/>
          <s v="Qtr1"/>
          <s v="Qtr2"/>
          <s v="Qtr3"/>
          <s v="Qtr4"/>
          <s v="&gt;27/05/2025"/>
        </groupItems>
      </fieldGroup>
    </cacheField>
    <cacheField name="Years (Abi andmise otsuse kuupäev)" numFmtId="0" databaseField="0">
      <fieldGroup base="12">
        <rangePr groupBy="years" startDate="2023-09-07T00:00:00" endDate="2025-05-27T00:00:00"/>
        <groupItems count="5">
          <s v="&lt;07/09/2023"/>
          <s v="2023"/>
          <s v="2024"/>
          <s v="2025"/>
          <s v="&gt;27/05/202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2">
  <r>
    <s v="231540/2500064"/>
    <s v="Osaühing CONTRACTOR"/>
    <s v="231540/2500064"/>
    <n v="11022401"/>
    <s v="EE"/>
    <s v="Väikese suurusega ettevõtja (10-49 töötajat)"/>
    <s v="EE00 Eesti"/>
    <s v="35.1"/>
    <m/>
    <n v="78561"/>
    <s v=""/>
    <s v="Rahaline toetus"/>
    <x v="0"/>
    <n v="2025"/>
    <s v="Muu"/>
    <s v="https://www.riigiteataja.ee/akt/101062023004"/>
    <s v="Ettevõtluse ja Innovatsiooni Sihtasutus"/>
    <m/>
    <n v="231540"/>
    <m/>
    <m/>
  </r>
  <r>
    <s v="231540/2500061"/>
    <s v="Aluver Tootmine OÜ"/>
    <s v="231540/2500061"/>
    <n v="11950532"/>
    <s v="EE"/>
    <s v="Väikese suurusega ettevõtja (10-49 töötajat)"/>
    <s v="EE00 Eesti"/>
    <s v="25.1"/>
    <s v=""/>
    <n v="150500"/>
    <s v=""/>
    <s v="Rahaline toetus"/>
    <x v="1"/>
    <n v="2025"/>
    <s v="Muu"/>
    <s v="https://www.riigiteataja.ee/akt/101062023004"/>
    <s v="Ettevõtluse ja Innovatsiooni Sihtasutus"/>
    <s v=""/>
    <s v="231540"/>
    <m/>
    <m/>
  </r>
  <r>
    <s v="231540/2500063"/>
    <s v="MTLUX OÜ"/>
    <s v="231540/2500063"/>
    <n v="12899313"/>
    <s v="EE"/>
    <s v="Väikese suurusega ettevõtja (10-49 töötajat)"/>
    <s v="EE00 Eesti"/>
    <s v="25.1"/>
    <s v=""/>
    <n v="32006.400000000001"/>
    <s v=""/>
    <s v="Rahaline toetus"/>
    <x v="1"/>
    <n v="2025"/>
    <s v="Muu"/>
    <s v="https://www.riigiteataja.ee/akt/101062023004"/>
    <s v="Ettevõtluse ja Innovatsiooni Sihtasutus"/>
    <s v=""/>
    <s v="231540"/>
    <m/>
    <m/>
  </r>
  <r>
    <s v="231540/2500056"/>
    <s v="Ecosh Life OÜ"/>
    <s v="231540/2500056"/>
    <n v="11553251"/>
    <s v="EE"/>
    <s v="Väikese suurusega ettevõtja (10-49 töötajat)"/>
    <s v="EE00 Eesti"/>
    <s v="35.1"/>
    <s v=""/>
    <n v="144894.85"/>
    <s v=""/>
    <s v="Rahaline toetus"/>
    <x v="2"/>
    <n v="2025"/>
    <s v="Muu"/>
    <s v="https://www.riigiteataja.ee/akt/101062023004"/>
    <s v="Ettevõtluse ja Innovatsiooni Sihtasutus"/>
    <s v=""/>
    <s v="231540"/>
    <m/>
    <m/>
  </r>
  <r>
    <s v="231540/2500057"/>
    <s v="Multimek Baltic OÜ"/>
    <s v="231540/2500057"/>
    <n v="12307666"/>
    <s v="EE"/>
    <s v="Keskmise suurusega ettevõtja (50-249 töötajat)"/>
    <s v="EE00 Eesti"/>
    <s v="25.9"/>
    <m/>
    <n v="40000"/>
    <s v=""/>
    <s v="Rahaline toetus"/>
    <x v="2"/>
    <n v="2025"/>
    <s v="Muu"/>
    <s v="https://www.riigiteataja.ee/akt/101062023004"/>
    <s v="Ettevõtluse ja Innovatsiooni Sihtasutus"/>
    <s v=""/>
    <s v="231540"/>
    <m/>
    <m/>
  </r>
  <r>
    <s v="231540/2500058"/>
    <s v="OÜ Helmetal IMS"/>
    <s v="231540/2500058"/>
    <n v="10868248"/>
    <s v="EE"/>
    <s v="Keskmise suurusega ettevõtja (50-249 töötajat)"/>
    <s v="EE00 Eesti"/>
    <s v="25.1"/>
    <s v=""/>
    <n v="210090"/>
    <s v=""/>
    <s v="Rahaline toetus"/>
    <x v="2"/>
    <n v="2025"/>
    <s v="Muu"/>
    <s v="https://www.riigiteataja.ee/akt/101062023004"/>
    <s v="Ettevõtluse ja Innovatsiooni Sihtasutus"/>
    <s v=""/>
    <s v="231540"/>
    <m/>
    <m/>
  </r>
  <r>
    <s v="231540/2500059"/>
    <s v="Riverbank OÜ"/>
    <s v="231540/2500059"/>
    <n v="12469363"/>
    <s v="EE"/>
    <s v="Väikese suurusega ettevõtja (10-49 töötajat)"/>
    <s v="EE00 Eesti"/>
    <s v="35.1"/>
    <s v=""/>
    <n v="21130"/>
    <s v=""/>
    <s v="Rahaline toetus"/>
    <x v="2"/>
    <n v="2025"/>
    <s v="Muu"/>
    <s v="https://www.riigiteataja.ee/akt/101062023004"/>
    <s v="Ettevõtluse ja Innovatsiooni Sihtasutus"/>
    <s v=""/>
    <s v="231540"/>
    <m/>
    <m/>
  </r>
  <r>
    <s v="231540/2500060"/>
    <s v="Dipperfox OÜ"/>
    <s v="231540/2500060"/>
    <n v="11134293"/>
    <s v="EE"/>
    <s v="Väikese suurusega ettevõtja (10-49 töötajat)"/>
    <s v="EE00 Eesti"/>
    <s v="28.3"/>
    <s v=""/>
    <n v="70000"/>
    <s v=""/>
    <s v="Rahaline toetus"/>
    <x v="2"/>
    <n v="2025"/>
    <s v="Muu"/>
    <s v="https://www.riigiteataja.ee/akt/101062023004"/>
    <s v="Ettevõtluse ja Innovatsiooni Sihtasutus"/>
    <s v=""/>
    <s v="231540"/>
    <m/>
    <m/>
  </r>
  <r>
    <s v="231540/2500062"/>
    <s v="Ysse OÜ"/>
    <s v="231540/2500062"/>
    <n v="12812648"/>
    <s v="EE"/>
    <s v="Mikroettevõtja (1-9 töötajat)"/>
    <s v="EE00 Eesti"/>
    <s v="16.2"/>
    <s v=""/>
    <n v="77350"/>
    <s v=""/>
    <s v="Rahaline toetus"/>
    <x v="2"/>
    <n v="2025"/>
    <s v="Muu"/>
    <s v="https://www.riigiteataja.ee/akt/101062023004"/>
    <s v="Ettevõtluse ja Innovatsiooni Sihtasutus"/>
    <s v=""/>
    <s v="231540"/>
    <m/>
    <m/>
  </r>
  <r>
    <s v="231540/2500055"/>
    <s v="AS SAMI"/>
    <s v="231540/2500055"/>
    <n v="10078210"/>
    <s v="EE"/>
    <s v="Keskmise suurusega ettevõtja (50-249 töötajat)"/>
    <s v="EE00 Eesti"/>
    <s v="35.1"/>
    <s v=""/>
    <n v="74142"/>
    <n v="148284"/>
    <s v="Rahaline toetus"/>
    <x v="3"/>
    <n v="2025"/>
    <s v="Muu"/>
    <s v="https://www.riigiteataja.ee/akt/101062023004"/>
    <s v="Ettevõtluse ja Innovatsiooni Sihtasutus"/>
    <s v=""/>
    <s v="231540"/>
    <m/>
    <m/>
  </r>
  <r>
    <s v="231540/2500053"/>
    <s v="Osaühing Eesti Killustik"/>
    <s v="231540/2500053"/>
    <n v="10126848"/>
    <s v="EE"/>
    <s v="Keskmise suurusega ettevõtja (50-249 töötajat)"/>
    <s v="EE00 Eesti"/>
    <s v="08.1"/>
    <s v=""/>
    <n v="57999.77"/>
    <n v="115999.54"/>
    <s v="Rahaline toetus"/>
    <x v="4"/>
    <n v="2025"/>
    <s v="Muu"/>
    <s v="https://www.riigiteataja.ee/akt/101062023004"/>
    <s v="Ettevõtluse ja Innovatsiooni Sihtasutus"/>
    <s v=""/>
    <s v="231540"/>
    <m/>
    <m/>
  </r>
  <r>
    <s v="231540/2500054"/>
    <s v="Osaühing Sikassaare Vanametall"/>
    <s v="231540/2500054"/>
    <n v="11494695"/>
    <s v="EE"/>
    <s v="Väikese suurusega ettevõtja (10-49 töötajat)"/>
    <s v="EE00 Eesti"/>
    <s v="46.1"/>
    <s v=""/>
    <n v="86492"/>
    <n v="123560"/>
    <s v="Rahaline toetus"/>
    <x v="4"/>
    <n v="2025"/>
    <s v="Muu"/>
    <s v="https://www.riigiteataja.ee/akt/101062023004"/>
    <s v="Ettevõtluse ja Innovatsiooni Sihtasutus"/>
    <s v=""/>
    <s v="231540"/>
    <m/>
    <m/>
  </r>
  <r>
    <s v="231540/2500052"/>
    <s v="OÜ Soleest"/>
    <s v="231540/2500052"/>
    <n v="10883041"/>
    <s v="EE"/>
    <s v="Keskmise suurusega ettevõtja (50-249 töötajat)"/>
    <s v="EE00 Eesti"/>
    <s v="35.1"/>
    <s v=""/>
    <n v="152689.70000000001"/>
    <n v="254482.84"/>
    <s v="Rahaline toetus"/>
    <x v="5"/>
    <n v="2025"/>
    <s v="Muu"/>
    <s v="https://www.riigiteataja.ee/akt/101062023004"/>
    <s v="Ettevõtluse ja Innovatsiooni Sihtasutus"/>
    <s v=""/>
    <s v="231540"/>
    <m/>
    <m/>
  </r>
  <r>
    <s v="231540/2500049"/>
    <s v="aktsiaselts Eleväli"/>
    <s v="231540/2500049"/>
    <n v="10274158"/>
    <s v="EE"/>
    <s v="Väikese suurusega ettevõtja (10-49 töötajat)"/>
    <s v="EE00 Eesti"/>
    <s v="42.2"/>
    <s v=""/>
    <n v="68857.600000000006"/>
    <n v="98368"/>
    <s v="Rahaline toetus"/>
    <x v="6"/>
    <n v="2025"/>
    <s v="Muu"/>
    <s v="https://www.riigiteataja.ee/akt/101062023004"/>
    <s v="Ettevõtluse ja Innovatsiooni Sihtasutus"/>
    <s v=""/>
    <s v="231540"/>
    <m/>
    <m/>
  </r>
  <r>
    <s v="231540/2500050"/>
    <s v="Osaühing Nõlvak &amp; Ko"/>
    <s v="231540/2500050"/>
    <n v="10218993"/>
    <s v="EE"/>
    <s v="Väikese suurusega ettevõtja (10-49 töötajat)"/>
    <s v="EE00 Eesti"/>
    <s v="95.3"/>
    <s v=""/>
    <n v="96186.2"/>
    <n v="137616"/>
    <s v="Rahaline toetus"/>
    <x v="6"/>
    <n v="2025"/>
    <s v="Muu"/>
    <s v="https://www.riigiteataja.ee/akt/101062023004"/>
    <s v="Ettevõtluse ja Innovatsiooni Sihtasutus"/>
    <s v=""/>
    <s v="231540"/>
    <m/>
    <m/>
  </r>
  <r>
    <s v="231540/2500051"/>
    <s v="KEVMET GRUPP OÜ"/>
    <s v="231540/2500051"/>
    <n v="14659257"/>
    <s v="EE"/>
    <s v="Väikese suurusega ettevõtja (10-49 töötajat)"/>
    <s v="EE00 Eesti"/>
    <s v="25.1"/>
    <s v=""/>
    <n v="49230"/>
    <n v="82050"/>
    <s v="Rahaline toetus"/>
    <x v="6"/>
    <n v="2025"/>
    <s v="Muu"/>
    <s v="https://www.riigiteataja.ee/akt/101062023004"/>
    <s v="Ettevõtluse ja Innovatsiooni Sihtasutus"/>
    <s v=""/>
    <s v="231540"/>
    <m/>
    <m/>
  </r>
  <r>
    <s v="231540/2500047"/>
    <s v="Ilmatsalu Kontorid OÜ"/>
    <s v="231540/2500047"/>
    <n v="12107559"/>
    <s v="EE"/>
    <s v="Mikroettevõtja (1-9 töötajat)"/>
    <s v="EE00 Eesti"/>
    <s v="35.1"/>
    <s v=""/>
    <n v="274400"/>
    <n v="392000"/>
    <s v="Rahaline toetus"/>
    <x v="7"/>
    <n v="2025"/>
    <s v="Muu"/>
    <s v="https://www.riigiteataja.ee/akt/101062023004"/>
    <s v="Ettevõtluse ja Innovatsiooni Sihtasutus"/>
    <s v=""/>
    <s v="231540"/>
    <m/>
    <m/>
  </r>
  <r>
    <s v="231540/2500048"/>
    <s v="Osaühing Arboris"/>
    <s v="231540/2500048"/>
    <n v="10419556"/>
    <s v="EE"/>
    <s v="Mikroettevõtja (1-9 töötajat)"/>
    <s v="EE00 Eesti"/>
    <s v="10.3"/>
    <s v=""/>
    <n v="27043.8"/>
    <n v="38634"/>
    <s v="Rahaline toetus"/>
    <x v="7"/>
    <n v="2025"/>
    <s v="Muu"/>
    <s v="https://www.riigiteataja.ee/akt/101062023004"/>
    <s v="Ettevõtluse ja Innovatsiooni Sihtasutus"/>
    <s v=""/>
    <s v="231540"/>
    <m/>
    <m/>
  </r>
  <r>
    <s v="231540/2500046"/>
    <s v="OÜ RDS Grupp"/>
    <s v="231540/2500046"/>
    <n v="14137688"/>
    <s v="EE"/>
    <s v="Mikroettevõtja (1-9 töötajat)"/>
    <s v="EE00 Eesti"/>
    <s v="25.6"/>
    <s v=""/>
    <n v="27540"/>
    <n v="45900"/>
    <s v="Rahaline toetus"/>
    <x v="8"/>
    <n v="2025"/>
    <s v="Muu"/>
    <s v="https://www.riigiteataja.ee/akt/101062023004"/>
    <s v="Ettevõtluse ja Innovatsiooni Sihtasutus"/>
    <s v=""/>
    <s v="231540"/>
    <m/>
    <m/>
  </r>
  <r>
    <s v="231540/2500042"/>
    <s v="Osaühing Vändra Visa"/>
    <s v="231540/2500042"/>
    <n v="10582240"/>
    <s v="EE"/>
    <s v="Väikese suurusega ettevõtja (10-49 töötajat)"/>
    <s v="EE00 Eesti"/>
    <s v="46.4"/>
    <s v=""/>
    <n v="13930"/>
    <n v="19900"/>
    <s v="Rahaline toetus"/>
    <x v="9"/>
    <n v="2025"/>
    <s v="Muu"/>
    <s v="https://www.riigiteataja.ee/akt/101062023004"/>
    <s v="Ettevõtluse ja Innovatsiooni Sihtasutus"/>
    <s v=""/>
    <s v="231540"/>
    <m/>
    <m/>
  </r>
  <r>
    <s v="231540/2500043"/>
    <s v="osaühing PUIDU TAAVET"/>
    <s v="231540/2500043"/>
    <n v="10302662"/>
    <s v="EE"/>
    <s v="Väikese suurusega ettevõtja (10-49 töötajat)"/>
    <s v="EE00 Eesti"/>
    <s v="32.9"/>
    <s v=""/>
    <n v="55930"/>
    <n v="79900"/>
    <s v="Rahaline toetus"/>
    <x v="9"/>
    <n v="2025"/>
    <s v="Muu"/>
    <s v="https://www.riigiteataja.ee/akt/101062023004"/>
    <s v="Ettevõtluse ja Innovatsiooni Sihtasutus"/>
    <s v=""/>
    <s v="231540"/>
    <m/>
    <m/>
  </r>
  <r>
    <s v="231540/2500044"/>
    <s v="OÜ Viibergi"/>
    <s v="231540/2500044"/>
    <n v="12842247"/>
    <s v="EE"/>
    <s v="Väikese suurusega ettevõtja (10-49 töötajat)"/>
    <s v="EE00 Eesti"/>
    <s v="10.3"/>
    <s v=""/>
    <n v="34918.1"/>
    <n v="49883"/>
    <s v="Rahaline toetus"/>
    <x v="9"/>
    <n v="2025"/>
    <s v="Muu"/>
    <s v="https://www.riigiteataja.ee/akt/101062023004"/>
    <s v="Ettevõtluse ja Innovatsiooni Sihtasutus"/>
    <s v=""/>
    <s v="231540"/>
    <m/>
    <m/>
  </r>
  <r>
    <s v="231540/2500045"/>
    <s v="aktsiaselts Nuia PMT"/>
    <s v="231540/2500045"/>
    <n v="10053718"/>
    <s v="EE"/>
    <s v="Keskmise suurusega ettevõtja (50-249 töötajat)"/>
    <s v="EE00 Eesti"/>
    <s v="28.1"/>
    <s v=""/>
    <n v="229800"/>
    <n v="383000"/>
    <s v="Rahaline toetus"/>
    <x v="9"/>
    <n v="2025"/>
    <s v="Muu"/>
    <s v="https://www.riigiteataja.ee/akt/101062023004"/>
    <s v="Ettevõtluse ja Innovatsiooni Sihtasutus"/>
    <s v=""/>
    <s v="231540"/>
    <m/>
    <m/>
  </r>
  <r>
    <s v="231540/2500040"/>
    <s v="osaühing GREIF"/>
    <s v="231540/2500040"/>
    <n v="10084831"/>
    <s v="EE"/>
    <s v="Keskmise suurusega ettevõtja (50-249 töötajat)"/>
    <s v="EE00 Eesti"/>
    <s v="18.1"/>
    <s v=""/>
    <n v="82404"/>
    <n v="137340"/>
    <s v="Rahaline toetus"/>
    <x v="10"/>
    <n v="2025"/>
    <s v="Muu"/>
    <s v="https://www.riigiteataja.ee/akt/101062023004"/>
    <s v="Ettevõtluse ja Innovatsiooni Sihtasutus"/>
    <s v=""/>
    <s v="231540"/>
    <m/>
    <m/>
  </r>
  <r>
    <s v="231540/2500041"/>
    <s v="aktsiaselts Hevea"/>
    <s v="231540/2500041"/>
    <n v="10097905"/>
    <s v="EE"/>
    <s v="Keskmise suurusega ettevõtja (50-249 töötajat)"/>
    <s v="EE00 Eesti"/>
    <s v="22.1"/>
    <s v=""/>
    <n v="59610"/>
    <n v="119220"/>
    <s v="Rahaline toetus"/>
    <x v="11"/>
    <n v="2025"/>
    <s v="Muu"/>
    <s v="https://www.riigiteataja.ee/akt/101062023004"/>
    <s v="Ettevõtluse ja Innovatsiooni Sihtasutus"/>
    <s v=""/>
    <s v="231540"/>
    <m/>
    <m/>
  </r>
  <r>
    <s v="231540/2500037"/>
    <s v="Tartu Südamekodu OÜ"/>
    <s v="231540/2500037"/>
    <n v="16483101"/>
    <s v="EE"/>
    <s v="Suurettevõtja (250 ja üle töötajat)"/>
    <s v="EE00 Eesti"/>
    <s v="87.3"/>
    <s v=""/>
    <n v="31000"/>
    <n v="62000"/>
    <s v="Rahaline toetus"/>
    <x v="12"/>
    <n v="2025"/>
    <s v="Muu"/>
    <s v="https://www.riigiteataja.ee/akt/101062023004"/>
    <s v="Ettevõtluse ja Innovatsiooni Sihtasutus"/>
    <s v=""/>
    <s v="231540"/>
    <m/>
    <m/>
  </r>
  <r>
    <s v="231540/2500034"/>
    <s v="OÜ LUMIRA"/>
    <s v="231540/2500034"/>
    <n v="14583784"/>
    <s v="EE"/>
    <s v="Mikroettevõtja (1-9 töötajat)"/>
    <s v="EE00 Eesti"/>
    <s v="68.2"/>
    <s v=""/>
    <n v="117248.67"/>
    <n v="167498.1"/>
    <s v="Rahaline toetus"/>
    <x v="13"/>
    <n v="2025"/>
    <s v="Muu"/>
    <s v="https://www.riigiteataja.ee/akt/101062023004"/>
    <s v="Ettevõtluse ja Innovatsiooni Sihtasutus"/>
    <s v=""/>
    <s v="231540"/>
    <m/>
    <m/>
  </r>
  <r>
    <s v="231540/2500035"/>
    <s v="OÜ LUMIRA"/>
    <s v="231540/2500035"/>
    <n v="14583784"/>
    <s v="EE"/>
    <s v="Mikroettevõtja (1-9 töötajat)"/>
    <s v="EE00 Eesti"/>
    <s v="68.2"/>
    <s v=""/>
    <n v="24797.119999999999"/>
    <n v="35424.46"/>
    <s v="Rahaline toetus"/>
    <x v="13"/>
    <n v="2025"/>
    <s v="Muu"/>
    <s v="https://www.riigiteataja.ee/akt/101062023004"/>
    <s v="Ettevõtluse ja Innovatsiooni Sihtasutus"/>
    <s v=""/>
    <s v="231540"/>
    <m/>
    <m/>
  </r>
  <r>
    <s v="231540/2500038"/>
    <s v="Osaühing MP &amp; Puitmeister"/>
    <s v="231540/2500038"/>
    <n v="10843455"/>
    <s v="EE"/>
    <s v="Keskmise suurusega ettevõtja (50-249 töötajat)"/>
    <s v="EE00 Eesti"/>
    <s v="16.1"/>
    <s v=""/>
    <n v="141949.43"/>
    <n v="236582.38"/>
    <s v="Rahaline toetus"/>
    <x v="13"/>
    <n v="2025"/>
    <s v="Muu"/>
    <s v="https://www.riigiteataja.ee/akt/101062023004"/>
    <s v="Ettevõtluse ja Innovatsiooni Sihtasutus"/>
    <s v=""/>
    <s v="231540"/>
    <m/>
    <m/>
  </r>
  <r>
    <s v="231540/2500039"/>
    <s v="OÜ PELTOC"/>
    <s v="231540/2500039"/>
    <n v="12125020"/>
    <s v="EE"/>
    <s v="Väikese suurusega ettevõtja (10-49 töötajat)"/>
    <s v="EE00 Eesti"/>
    <s v="33.1"/>
    <s v=""/>
    <n v="10488.8"/>
    <n v="14984"/>
    <s v="Rahaline toetus"/>
    <x v="13"/>
    <n v="2025"/>
    <s v="Muu"/>
    <s v="https://www.riigiteataja.ee/akt/101062023004"/>
    <s v="Ettevõtluse ja Innovatsiooni Sihtasutus"/>
    <s v=""/>
    <s v="231540"/>
    <m/>
    <m/>
  </r>
  <r>
    <s v="231540/2500033"/>
    <s v="Nerostein OÜ"/>
    <s v="231540/2500033"/>
    <n v="12541362"/>
    <s v="EE"/>
    <s v="Suurettevõtja (250 ja üle töötajat)"/>
    <s v="EE00 Eesti"/>
    <s v="23.7"/>
    <s v=""/>
    <n v="80000"/>
    <n v="200000"/>
    <s v="Rahaline toetus"/>
    <x v="14"/>
    <n v="2025"/>
    <s v="Muu"/>
    <s v="https://www.riigiteataja.ee/akt/101062023004"/>
    <s v="Ettevõtluse ja Innovatsiooni Sihtasutus"/>
    <s v=""/>
    <s v="231540"/>
    <m/>
    <m/>
  </r>
  <r>
    <s v="231540/2500036"/>
    <s v="EF Production OÜ"/>
    <s v="231540/2500036"/>
    <n v="10005091"/>
    <s v="EE"/>
    <s v="Keskmise suurusega ettevõtja (50-249 töötajat)"/>
    <s v="EE00 Eesti"/>
    <s v="16.2"/>
    <s v=""/>
    <n v="122989.2"/>
    <n v="204982"/>
    <s v="Rahaline toetus"/>
    <x v="15"/>
    <n v="2025"/>
    <s v="Muu"/>
    <s v="https://www.riigiteataja.ee/akt/101062023004"/>
    <s v="Ettevõtluse ja Innovatsiooni Sihtasutus"/>
    <s v=""/>
    <s v="231540"/>
    <m/>
    <m/>
  </r>
  <r>
    <s v="231540/2500032"/>
    <s v="Jäämari OÜ"/>
    <s v="231540/2500032"/>
    <n v="12667382"/>
    <s v="EE"/>
    <s v="Mikroettevõtja (1-9 töötajat)"/>
    <s v="EE00 Eesti"/>
    <s v="10.5"/>
    <s v=""/>
    <n v="17185"/>
    <n v="24550"/>
    <s v="Rahaline toetus"/>
    <x v="16"/>
    <n v="2025"/>
    <s v="Muu"/>
    <s v="https://www.riigiteataja.ee/akt/101062023004"/>
    <s v="Ettevõtluse ja Innovatsiooni Sihtasutus"/>
    <s v=""/>
    <s v="231540"/>
    <m/>
    <m/>
  </r>
  <r>
    <s v="231540/2500031"/>
    <s v="Aktsiaselts KITZINGER-PROGRESS"/>
    <s v="231540/2500031"/>
    <n v="10084848"/>
    <s v="EE"/>
    <s v="Väikese suurusega ettevõtja (10-49 töötajat)"/>
    <s v="EE00 Eesti"/>
    <s v="28.9"/>
    <s v=""/>
    <n v="53580.02"/>
    <n v="76542.880000000005"/>
    <s v="Rahaline toetus"/>
    <x v="17"/>
    <n v="2025"/>
    <s v="Muu"/>
    <s v="https://www.riigiteataja.ee/akt/101062023004"/>
    <s v="Ettevõtluse ja Innovatsiooni Sihtasutus"/>
    <s v=""/>
    <s v="231540"/>
    <m/>
    <m/>
  </r>
  <r>
    <s v="231540/2500030"/>
    <s v="Osaühing VarenaGrupp"/>
    <s v="231540/2500030"/>
    <n v="10974750"/>
    <s v="EE"/>
    <s v="Väikese suurusega ettevõtja (10-49 töötajat)"/>
    <s v="EE00 Eesti"/>
    <s v="42.9"/>
    <s v=""/>
    <n v="17531.5"/>
    <n v="25045"/>
    <s v="Rahaline toetus"/>
    <x v="18"/>
    <n v="2025"/>
    <s v="Muu"/>
    <s v="https://www.riigiteataja.ee/akt/101062023004"/>
    <s v="Ettevõtluse ja Innovatsiooni Sihtasutus"/>
    <s v=""/>
    <s v="231540"/>
    <m/>
    <m/>
  </r>
  <r>
    <s v="231540/2500029"/>
    <s v="Server Farm OÜ"/>
    <s v="231540/2500029"/>
    <n v="12423131"/>
    <s v="EE"/>
    <s v="Mikroettevõtja (1-9 töötajat)"/>
    <s v="EE00 Eesti"/>
    <s v="61.9"/>
    <s v=""/>
    <n v="83613.91"/>
    <n v="139356.51999999999"/>
    <s v="Rahaline toetus"/>
    <x v="19"/>
    <n v="2025"/>
    <s v="Muu"/>
    <s v="https://www.riigiteataja.ee/akt/101062023004"/>
    <s v="Ettevõtluse ja Innovatsiooni Sihtasutus"/>
    <s v=""/>
    <s v="231540"/>
    <m/>
    <m/>
  </r>
  <r>
    <s v="231540/2500028"/>
    <s v="Südamekodud AS"/>
    <s v="Vigane 14"/>
    <n v="14168513"/>
    <s v="EE"/>
    <s v="Suurettevõtja (250 ja üle töötajat)"/>
    <s v="EE00 Eesti"/>
    <s v="87.3"/>
    <s v=""/>
    <n v="19750"/>
    <n v="25000"/>
    <s v="Rahaline toetus"/>
    <x v="20"/>
    <n v="2025"/>
    <s v="Muu"/>
    <s v="https://www.riigiteataja.ee/akt/101062023004"/>
    <s v="Ettevõtluse ja Innovatsiooni Sihtasutus"/>
    <s v=""/>
    <s v="231540"/>
    <m/>
    <m/>
  </r>
  <r>
    <s v="231540/2500027"/>
    <s v="Liivalaia Kodukauba OÜ"/>
    <s v="231540/2500027"/>
    <n v="10099672"/>
    <s v="EE"/>
    <s v="Keskmise suurusega ettevõtja (50-249 töötajat)"/>
    <s v="EE00 Eesti"/>
    <s v="68.2"/>
    <s v=""/>
    <n v="116264"/>
    <n v="232528"/>
    <s v="Rahaline toetus"/>
    <x v="21"/>
    <n v="2025"/>
    <s v="Muu"/>
    <s v="https://www.riigiteataja.ee/akt/101062023004"/>
    <s v="Ettevõtluse ja Innovatsiooni Sihtasutus"/>
    <s v=""/>
    <s v="231540"/>
    <m/>
    <m/>
  </r>
  <r>
    <s v="231540/2500025"/>
    <s v="OÜ Balti Spoon"/>
    <s v="231540/2500025"/>
    <n v="10333719"/>
    <s v="EE"/>
    <s v="Suurettevõtja (250 ja üle töötajat)"/>
    <s v="EE00 Eesti"/>
    <s v="16.2"/>
    <s v=""/>
    <n v="100000"/>
    <n v="250000"/>
    <s v="Rahaline toetus"/>
    <x v="22"/>
    <n v="2025"/>
    <s v="Muu"/>
    <s v="https://www.riigiteataja.ee/akt/101062023004"/>
    <s v="Ettevõtluse ja Innovatsiooni Sihtasutus"/>
    <s v=""/>
    <s v="231540"/>
    <m/>
    <m/>
  </r>
  <r>
    <s v="231540/2500026"/>
    <s v="Citystudio OÜ"/>
    <s v="231540/2500026"/>
    <n v="14446099"/>
    <s v="EE"/>
    <s v="Väikese suurusega ettevõtja (10-49 töötajat)"/>
    <s v="EE00 Eesti"/>
    <s v="55.1"/>
    <s v=""/>
    <n v="38779.65"/>
    <n v="55399.5"/>
    <s v="Rahaline toetus"/>
    <x v="22"/>
    <n v="2025"/>
    <s v="Muu"/>
    <s v="https://www.riigiteataja.ee/akt/101062023004"/>
    <s v="Ettevõtluse ja Innovatsiooni Sihtasutus"/>
    <s v=""/>
    <s v="231540"/>
    <m/>
    <m/>
  </r>
  <r>
    <s v="231540/2500023"/>
    <s v="Eswire OÜ"/>
    <s v="231540/2500023"/>
    <n v="11189064"/>
    <s v="EE"/>
    <s v="Suurettevõtja (250 ja üle töötajat)"/>
    <s v="EE00 Eesti"/>
    <s v="27.3"/>
    <s v=""/>
    <n v="65003.08"/>
    <n v="130006.16"/>
    <s v="Rahaline toetus"/>
    <x v="23"/>
    <n v="2025"/>
    <s v="Muu"/>
    <s v="https://www.riigiteataja.ee/akt/101062023004"/>
    <s v="Ettevõtluse ja Innovatsiooni Sihtasutus"/>
    <s v=""/>
    <s v="231540"/>
    <m/>
    <m/>
  </r>
  <r>
    <s v="231540/2500022"/>
    <s v="Osaühing Heimarus"/>
    <s v="231540/2500022"/>
    <n v="11015140"/>
    <s v="EE"/>
    <s v="Väikese suurusega ettevõtja (10-49 töötajat)"/>
    <s v="EE00 Eesti"/>
    <s v="45.2"/>
    <s v=""/>
    <n v="81134.570000000007"/>
    <n v="115906.53"/>
    <s v="Rahaline toetus"/>
    <x v="24"/>
    <n v="2025"/>
    <s v="Muu"/>
    <s v="https://www.riigiteataja.ee/akt/101062023004"/>
    <s v="Ettevõtluse ja Innovatsiooni Sihtasutus"/>
    <s v=""/>
    <s v="231540"/>
    <m/>
    <m/>
  </r>
  <r>
    <s v="231540/2500021"/>
    <s v="HANZA Mechanics Narva AS"/>
    <s v="231540/2500021"/>
    <n v="11011627"/>
    <s v="EE"/>
    <s v="Suurettevõtja (250 ja üle töötajat)"/>
    <s v="EE00 Eesti"/>
    <s v="25.9"/>
    <s v=""/>
    <n v="236190"/>
    <n v="472380"/>
    <s v="Rahaline toetus"/>
    <x v="25"/>
    <n v="2025"/>
    <s v="Muu"/>
    <s v="https://www.riigiteataja.ee/akt/101062023004"/>
    <s v="Ettevõtluse ja Innovatsiooni Sihtasutus"/>
    <s v=""/>
    <s v="231540"/>
    <m/>
    <m/>
  </r>
  <r>
    <s v="231540/2500020"/>
    <s v="HUT Eesti OÜ"/>
    <s v="231540/2500020"/>
    <n v="12464029"/>
    <s v="EE"/>
    <s v="Väikese suurusega ettevõtja (10-49 töötajat)"/>
    <s v="EE00 Eesti"/>
    <s v="35.1"/>
    <s v=""/>
    <n v="41217.4"/>
    <n v="58882"/>
    <s v="Rahaline toetus"/>
    <x v="26"/>
    <n v="2025"/>
    <s v="Muu"/>
    <s v="https://www.riigiteataja.ee/akt/101062023004"/>
    <s v="Ettevõtluse ja Innovatsiooni Sihtasutus"/>
    <s v=""/>
    <s v="231540"/>
    <m/>
    <m/>
  </r>
  <r>
    <s v="231540/2500024"/>
    <s v="Veokiremont OÜ"/>
    <s v="231540/2500024"/>
    <n v="11103097"/>
    <s v="EE"/>
    <s v="Väikese suurusega ettevõtja (10-49 töötajat)"/>
    <s v="EE00 Eesti"/>
    <s v="35.1"/>
    <s v=""/>
    <n v="45920"/>
    <n v="65600"/>
    <s v="Rahaline toetus"/>
    <x v="26"/>
    <n v="2025"/>
    <s v="Muu"/>
    <s v="https://www.riigiteataja.ee/akt/101062023004"/>
    <s v="Ettevõtluse ja Innovatsiooni Sihtasutus"/>
    <s v=""/>
    <s v="231540"/>
    <m/>
    <m/>
  </r>
  <r>
    <s v="231540/2500019"/>
    <s v="Osaühing Eesti Tõukari"/>
    <s v="231540/2500019"/>
    <n v="10422722"/>
    <s v="EE"/>
    <s v="Mikroettevõtja (1-9 töötajat)"/>
    <s v="EE00 Eesti"/>
    <s v="68.2"/>
    <s v=""/>
    <n v="88270.2"/>
    <n v="147117"/>
    <s v="Rahaline toetus"/>
    <x v="27"/>
    <n v="2025"/>
    <s v="Muu"/>
    <s v="https://www.riigiteataja.ee/akt/101062023004"/>
    <s v="Ettevõtluse ja Innovatsiooni Sihtasutus"/>
    <s v=""/>
    <s v="231540"/>
    <m/>
    <m/>
  </r>
  <r>
    <s v="231540/2500016"/>
    <s v="Aktsiaselts EEMELI"/>
    <s v="231540/2500016"/>
    <n v="10176674"/>
    <s v="EE"/>
    <s v="Väikese suurusega ettevõtja (10-49 töötajat)"/>
    <s v="EE00 Eesti"/>
    <s v="28.1"/>
    <s v=""/>
    <n v="100061.5"/>
    <n v="142945"/>
    <s v="Rahaline toetus"/>
    <x v="28"/>
    <n v="2025"/>
    <s v="Muu"/>
    <s v="https://www.riigiteataja.ee/akt/101062023004"/>
    <s v="Ettevõtluse ja Innovatsiooni Sihtasutus"/>
    <s v=""/>
    <s v="231540"/>
    <m/>
    <m/>
  </r>
  <r>
    <s v="231540/2500017"/>
    <s v="AS SAMI Tootmine"/>
    <s v="231540/2500017"/>
    <n v="10440415"/>
    <s v="EE"/>
    <s v="Keskmise suurusega ettevõtja (50-249 töötajat)"/>
    <s v="EE00 Eesti"/>
    <s v="28.9"/>
    <s v=""/>
    <n v="73900"/>
    <n v="142000"/>
    <s v="Rahaline toetus"/>
    <x v="28"/>
    <n v="2025"/>
    <s v="Muu"/>
    <s v="https://www.riigiteataja.ee/akt/101062023004"/>
    <s v="Ettevõtluse ja Innovatsiooni Sihtasutus"/>
    <s v=""/>
    <s v="231540"/>
    <m/>
    <m/>
  </r>
  <r>
    <s v="231540/2500018"/>
    <s v="Viljandi Metall AS"/>
    <s v="Vigane 4"/>
    <n v="10131766"/>
    <s v="EE"/>
    <s v="Suurettevõtja (250 ja üle töötajat)"/>
    <s v="EE00 Eesti"/>
    <s v="68.2"/>
    <s v=""/>
    <n v="293588.96999999997"/>
    <n v="679215.94"/>
    <s v="Rahaline toetus"/>
    <x v="28"/>
    <n v="2025"/>
    <s v="Muu"/>
    <s v="https://www.riigiteataja.ee/akt/101062023004"/>
    <s v="Ettevõtluse ja Innovatsiooni Sihtasutus"/>
    <s v=""/>
    <s v="231540"/>
    <m/>
    <m/>
  </r>
  <r>
    <s v="231540/2500014"/>
    <s v="Osaühing KEERDTREPP"/>
    <s v="231540/2500014"/>
    <n v="10377852"/>
    <s v="EE"/>
    <s v="Väikese suurusega ettevõtja (10-49 töötajat)"/>
    <s v="EE00 Eesti"/>
    <s v="25.1"/>
    <s v=""/>
    <n v="15600"/>
    <n v="26000"/>
    <s v="Rahaline toetus"/>
    <x v="29"/>
    <n v="2025"/>
    <s v="Muu"/>
    <s v="https://www.riigiteataja.ee/akt/101062023004"/>
    <s v="Ettevõtluse ja Innovatsiooni Sihtasutus"/>
    <s v=""/>
    <s v="231540"/>
    <m/>
    <m/>
  </r>
  <r>
    <s v="231540/2500015"/>
    <s v="Voller Sisustus OÜ"/>
    <s v="231540/2500015"/>
    <n v="12035601"/>
    <s v="EE"/>
    <s v="Keskmise suurusega ettevõtja (50-249 töötajat)"/>
    <s v="EE00 Eesti"/>
    <s v="43.9"/>
    <s v=""/>
    <n v="34937.5"/>
    <n v="69875"/>
    <s v="Rahaline toetus"/>
    <x v="29"/>
    <n v="2025"/>
    <s v="Muu"/>
    <s v="https://www.riigiteataja.ee/akt/101062023004"/>
    <s v="Ettevõtluse ja Innovatsiooni Sihtasutus"/>
    <s v=""/>
    <s v="231540"/>
    <m/>
    <m/>
  </r>
  <r>
    <s v="231540/2500012"/>
    <s v="Rootsi Mööbel OÜ"/>
    <s v="231540/2500012"/>
    <n v="10703665"/>
    <s v="EE"/>
    <s v="Keskmise suurusega ettevõtja (50-249 töötajat)"/>
    <s v="EE00 Eesti"/>
    <s v="31.0"/>
    <s v=""/>
    <n v="48918.6"/>
    <n v="81531"/>
    <s v="Rahaline toetus"/>
    <x v="30"/>
    <n v="2025"/>
    <s v="Muu"/>
    <s v="https://www.riigiteataja.ee/akt/101062023004"/>
    <s v="Ettevõtluse ja Innovatsiooni Sihtasutus"/>
    <s v=""/>
    <s v="231540"/>
    <m/>
    <m/>
  </r>
  <r>
    <s v="231540/2500013"/>
    <s v="Rootsi Mööbel OÜ"/>
    <s v="231540/2500013"/>
    <n v="10703665"/>
    <s v="EE"/>
    <s v="Keskmise suurusega ettevõtja (50-249 töötajat)"/>
    <s v="EE00 Eesti"/>
    <s v="31.0"/>
    <s v=""/>
    <n v="83831"/>
    <n v="167662"/>
    <s v="Rahaline toetus"/>
    <x v="30"/>
    <n v="2025"/>
    <s v="Muu"/>
    <s v="https://www.riigiteataja.ee/akt/101062023004"/>
    <s v="Ettevõtluse ja Innovatsiooni Sihtasutus"/>
    <s v=""/>
    <s v="231540"/>
    <m/>
    <m/>
  </r>
  <r>
    <s v="231540/2500011"/>
    <s v="Voller Sisustus OÜ"/>
    <s v="231540/2500011"/>
    <n v="12035601"/>
    <s v="EE"/>
    <s v="Keskmise suurusega ettevõtja (50-249 töötajat)"/>
    <s v="EE00 Eesti"/>
    <s v="35.1"/>
    <s v=""/>
    <n v="35250"/>
    <n v="70500"/>
    <s v="Rahaline toetus"/>
    <x v="31"/>
    <n v="2025"/>
    <s v="Muu"/>
    <s v="https://www.riigiteataja.ee/akt/101062023004"/>
    <s v="Ettevõtluse ja Innovatsiooni Sihtasutus"/>
    <s v=""/>
    <s v="231540"/>
    <m/>
    <m/>
  </r>
  <r>
    <s v="231540/2500010"/>
    <s v="Foor Jõhvi OÜ"/>
    <s v="231540/2500010"/>
    <n v="10032703"/>
    <s v="EE"/>
    <s v="Mikroettevõtja (1-9 töötajat)"/>
    <s v="EE00 Eesti"/>
    <s v="55.1"/>
    <s v=""/>
    <n v="12593"/>
    <n v="17990"/>
    <s v="Rahaline toetus"/>
    <x v="32"/>
    <n v="2025"/>
    <s v="Muu"/>
    <s v="https://www.riigiteataja.ee/akt/101062023004"/>
    <s v="Ettevõtluse ja Innovatsiooni Sihtasutus"/>
    <s v=""/>
    <s v="231540"/>
    <m/>
    <m/>
  </r>
  <r>
    <s v="231540/2500009"/>
    <s v="aktsiaselts VÕRU VESI"/>
    <s v="231540/2500009"/>
    <n v="10004973"/>
    <s v="EE"/>
    <s v="Suurettevõtja (250 ja üle töötajat)"/>
    <s v="EE00 Eesti"/>
    <s v="37.0"/>
    <s v=""/>
    <n v="11000"/>
    <n v="22000"/>
    <s v="Rahaline toetus"/>
    <x v="33"/>
    <n v="2025"/>
    <s v="Muu"/>
    <s v="https://www.riigiteataja.ee/akt/101062023004"/>
    <s v="Ettevõtluse ja Innovatsiooni Sihtasutus"/>
    <s v=""/>
    <s v="231540"/>
    <m/>
    <m/>
  </r>
  <r>
    <s v="231540/2500007"/>
    <s v="ARIMENTES OÜ"/>
    <s v="231540/2500007"/>
    <n v="11493773"/>
    <s v="EE"/>
    <s v="Mikroettevõtja (1-9 töötajat)"/>
    <s v="EE00 Eesti"/>
    <s v="49.4"/>
    <s v=""/>
    <n v="65739.8"/>
    <n v="93914"/>
    <s v="Rahaline toetus"/>
    <x v="34"/>
    <n v="2025"/>
    <s v="Muu"/>
    <s v="https://www.riigiteataja.ee/akt/101062023004"/>
    <s v="Ettevõtluse ja Innovatsiooni Sihtasutus"/>
    <s v=""/>
    <s v="231540"/>
    <m/>
    <m/>
  </r>
  <r>
    <s v="231540/2500008"/>
    <s v="osaühing Põlmer"/>
    <s v="231540/2500008"/>
    <n v="10021405"/>
    <s v="EE"/>
    <s v="Mikroettevõtja (1-9 töötajat)"/>
    <s v="EE00 Eesti"/>
    <s v="25.9"/>
    <s v=""/>
    <n v="35000"/>
    <n v="50000"/>
    <s v="Rahaline toetus"/>
    <x v="35"/>
    <n v="2025"/>
    <s v="Muu"/>
    <s v="https://www.riigiteataja.ee/akt/101062023004"/>
    <s v="Ettevõtluse ja Innovatsiooni Sihtasutus"/>
    <s v=""/>
    <s v="231540"/>
    <m/>
    <m/>
  </r>
  <r>
    <s v="231540/2500006"/>
    <s v="Osaühing DZIDRA"/>
    <s v="231540/2500006"/>
    <n v="10774518"/>
    <s v="EE"/>
    <s v="Mikroettevõtja (1-9 töötajat)"/>
    <s v="EE00 Eesti"/>
    <s v="25.1"/>
    <s v=""/>
    <n v="66000"/>
    <n v="110000"/>
    <s v="Rahaline toetus"/>
    <x v="36"/>
    <n v="2025"/>
    <s v="Muu"/>
    <s v="https://www.riigiteataja.ee/akt/101062023004"/>
    <s v="Ettevõtluse ja Innovatsiooni Sihtasutus"/>
    <s v=""/>
    <s v="231540"/>
    <m/>
    <m/>
  </r>
  <r>
    <s v="231540/2500005"/>
    <s v="aktsiaselts VÕRU VESI"/>
    <s v="231540/2500005"/>
    <n v="10004973"/>
    <s v="EE"/>
    <s v="Suurettevõtja (250 ja üle töötajat)"/>
    <s v="EE00 Eesti"/>
    <s v="36.0"/>
    <s v=""/>
    <n v="16500"/>
    <n v="55000"/>
    <s v="Rahaline toetus"/>
    <x v="37"/>
    <n v="2025"/>
    <s v="Muu"/>
    <s v="https://www.riigiteataja.ee/akt/101062023004"/>
    <s v="Ettevõtluse ja Innovatsiooni Sihtasutus"/>
    <s v=""/>
    <s v="231540"/>
    <m/>
    <m/>
  </r>
  <r>
    <s v="231540/2500004"/>
    <s v="Tabivere Soojus OÜ"/>
    <s v="231540/2500004"/>
    <n v="12013232"/>
    <s v="EE"/>
    <s v="Mikroettevõtja (1-9 töötajat)"/>
    <s v="EE00 Eesti"/>
    <s v="35.3"/>
    <s v=""/>
    <n v="71215.460000000006"/>
    <n v="142430.92000000001"/>
    <s v="Rahaline toetus"/>
    <x v="38"/>
    <n v="2025"/>
    <s v="Muu"/>
    <s v="https://www.riigiteataja.ee/akt/101062023004"/>
    <s v="Ettevõtluse ja Innovatsiooni Sihtasutus"/>
    <s v=""/>
    <s v="231540"/>
    <m/>
    <m/>
  </r>
  <r>
    <s v="231540/2500003"/>
    <s v="Narma OÜ"/>
    <s v="231540/2500003"/>
    <n v="10077274"/>
    <s v="EE"/>
    <s v="Väikese suurusega ettevõtja (10-49 töötajat)"/>
    <s v="EE00 Eesti"/>
    <s v="13.9"/>
    <s v=""/>
    <n v="17594.5"/>
    <n v="35189"/>
    <s v="Rahaline toetus"/>
    <x v="39"/>
    <n v="2025"/>
    <s v="Muu"/>
    <s v="https://www.riigiteataja.ee/akt/101062023004"/>
    <s v="Ettevõtluse ja Innovatsiooni Sihtasutus"/>
    <s v=""/>
    <s v="231540"/>
    <m/>
    <m/>
  </r>
  <r>
    <s v="231540/2500002"/>
    <s v="OÜ Balti Spoon"/>
    <s v="231540/2500002"/>
    <n v="10333719"/>
    <s v="EE"/>
    <s v="Suurettevõtja (250 ja üle töötajat)"/>
    <s v="EE00 Eesti"/>
    <s v="16.2"/>
    <s v=""/>
    <n v="0"/>
    <s v=""/>
    <s v="Rahaline toetus"/>
    <x v="40"/>
    <n v="2025"/>
    <s v="Muu"/>
    <s v="https://www.riigiteataja.ee/akt/101062023004"/>
    <s v="Ettevõtluse ja Innovatsiooni Sihtasutus"/>
    <s v=""/>
    <s v="231540"/>
    <m/>
    <m/>
  </r>
  <r>
    <s v="231540/2500001"/>
    <s v="Rootsi Mööbel OÜ"/>
    <s v="231540/2500001"/>
    <n v="10703665"/>
    <s v="EE"/>
    <s v="Keskmise suurusega ettevõtja (50-249 töötajat)"/>
    <s v="EE00 Eesti"/>
    <s v="31.0"/>
    <s v=""/>
    <n v="0"/>
    <s v=""/>
    <s v="Rahaline toetus"/>
    <x v="41"/>
    <n v="2024"/>
    <s v="Muu"/>
    <s v="https://www.riigiteataja.ee/akt/101062023004"/>
    <s v="Ettevõtluse ja Innovatsiooni Sihtasutus"/>
    <s v=""/>
    <s v="231540"/>
    <m/>
    <m/>
  </r>
  <r>
    <s v="231540/2400050"/>
    <s v="aktsiaselts FÖRMANN NT"/>
    <s v="231540/2400050"/>
    <n v="10086633"/>
    <s v="EE"/>
    <s v="Väikese suurusega ettevõtja (10-49 töötajat)"/>
    <s v="EE00 Eesti"/>
    <s v="35.1"/>
    <s v=""/>
    <n v="49895"/>
    <n v="99790"/>
    <s v="Rahaline toetus"/>
    <x v="42"/>
    <n v="2024"/>
    <s v="Muu"/>
    <s v="https://www.riigiteataja.ee/akt/101062023004"/>
    <s v="Ettevõtluse ja Innovatsiooni Sihtasutus"/>
    <s v=""/>
    <s v="231540"/>
    <m/>
    <m/>
  </r>
  <r>
    <s v="231540/2400049"/>
    <s v="Leku Metall OÜ"/>
    <s v="231540/2400049"/>
    <n v="10218131"/>
    <s v="EE"/>
    <s v="Mikroettevõtja (1-9 töötajat)"/>
    <s v="EE00 Eesti"/>
    <s v="35.1"/>
    <s v=""/>
    <n v="25950"/>
    <n v="51900"/>
    <s v="Rahaline toetus"/>
    <x v="43"/>
    <n v="2024"/>
    <s v="Muu"/>
    <s v="https://www.riigiteataja.ee/akt/101062023004"/>
    <s v="Ettevõtluse ja Innovatsiooni Sihtasutus"/>
    <s v=""/>
    <s v="231540"/>
    <m/>
    <m/>
  </r>
  <r>
    <s v="231540/2400048"/>
    <s v="Ruukki Products AS"/>
    <s v="231540/2400048"/>
    <n v="10082335"/>
    <s v="EE"/>
    <s v="Suurettevõtja (250 ja üle töötajat)"/>
    <s v="EE00 Eesti"/>
    <s v="25.5"/>
    <s v=""/>
    <n v="48000"/>
    <n v="160000"/>
    <s v="Rahaline toetus"/>
    <x v="44"/>
    <n v="2024"/>
    <s v="Muu"/>
    <s v="https://www.riigiteataja.ee/akt/101062023004"/>
    <s v="Ettevõtluse ja Innovatsiooni Sihtasutus"/>
    <s v=""/>
    <s v="231540"/>
    <m/>
    <m/>
  </r>
  <r>
    <s v="231540/2400047"/>
    <s v="MARREK PUIT OÜ"/>
    <s v="231540/2400047"/>
    <n v="10934040"/>
    <s v="EE"/>
    <s v="Väikese suurusega ettevõtja (10-49 töötajat)"/>
    <s v="EE00 Eesti"/>
    <s v="16.1"/>
    <s v=""/>
    <n v="130500"/>
    <n v="261000"/>
    <s v="Rahaline toetus"/>
    <x v="45"/>
    <n v="2024"/>
    <s v="Muu"/>
    <s v="https://www.riigiteataja.ee/akt/101062023004"/>
    <s v="Ettevõtluse ja Innovatsiooni Sihtasutus"/>
    <s v=""/>
    <s v="231540"/>
    <m/>
    <m/>
  </r>
  <r>
    <s v="231540/2400046"/>
    <s v="Väike Päike Viimsi OÜ"/>
    <s v="231540/2400046"/>
    <n v="14641493"/>
    <s v="EE"/>
    <s v="Väikese suurusega ettevõtja (10-49 töötajat)"/>
    <s v="EE00 Eesti"/>
    <s v="85.1"/>
    <s v=""/>
    <n v="30644.45"/>
    <n v="76611.13"/>
    <s v="Rahaline toetus"/>
    <x v="46"/>
    <n v="2024"/>
    <s v="Muu"/>
    <s v="https://www.riigiteataja.ee/akt/101062023004"/>
    <s v="Ettevõtluse ja Innovatsiooni Sihtasutus"/>
    <s v=""/>
    <s v="231540"/>
    <m/>
    <m/>
  </r>
  <r>
    <s v="231540/2400045"/>
    <s v="TULIPUNANE OÜ"/>
    <s v="231540/2400045"/>
    <n v="10560579"/>
    <s v="EE"/>
    <s v="Mikroettevõtja (1-9 töötajat)"/>
    <s v="EE00 Eesti"/>
    <s v="71.1"/>
    <s v=""/>
    <n v="73333.33"/>
    <n v="146666.66"/>
    <s v="Rahaline toetus"/>
    <x v="47"/>
    <n v="2024"/>
    <s v="Muu"/>
    <s v="https://www.riigiteataja.ee/akt/101062023004"/>
    <s v="Ettevõtluse ja Innovatsiooni Sihtasutus"/>
    <s v=""/>
    <s v="231540"/>
    <m/>
    <m/>
  </r>
  <r>
    <s v="231540/2400044"/>
    <s v="ARENS AS"/>
    <s v="231540/2400044"/>
    <n v="10254960"/>
    <s v="EE"/>
    <s v="Keskmise suurusega ettevõtja (50-249 töötajat)"/>
    <s v="EE00 Eesti"/>
    <s v="31.0"/>
    <s v=""/>
    <n v="100000"/>
    <n v="250000"/>
    <s v="Rahaline toetus"/>
    <x v="48"/>
    <n v="2024"/>
    <s v="Muu"/>
    <s v="https://www.riigiteataja.ee/akt/101062023004"/>
    <s v="Ettevõtluse ja Innovatsiooni Sihtasutus"/>
    <s v=""/>
    <s v="231540"/>
    <m/>
    <m/>
  </r>
  <r>
    <s v="231540/2400043"/>
    <s v="aktsiaselts Viiratsi Saeveski"/>
    <s v="231540/2400043"/>
    <n v="10868739"/>
    <s v="EE"/>
    <s v="Suurettevõtja (250 ja üle töötajat)"/>
    <s v="EE00 Eesti"/>
    <s v="16.1"/>
    <s v=""/>
    <n v="264348"/>
    <n v="881160"/>
    <s v="Rahaline toetus"/>
    <x v="49"/>
    <n v="2024"/>
    <s v="Muu"/>
    <s v="https://www.riigiteataja.ee/akt/101062023004"/>
    <s v="Ettevõtluse ja Innovatsiooni Sihtasutus"/>
    <s v=""/>
    <s v="231540"/>
    <m/>
    <m/>
  </r>
  <r>
    <s v="231540/2400042"/>
    <s v="Thörn Houses OÜ"/>
    <s v="231540/2400042"/>
    <n v="14986915"/>
    <s v="EE"/>
    <s v="Väikese suurusega ettevõtja (10-49 töötajat)"/>
    <s v="EE00 Eesti"/>
    <s v="41.2"/>
    <s v=""/>
    <n v="29375.599999999999"/>
    <n v="73439"/>
    <s v="Rahaline toetus"/>
    <x v="50"/>
    <n v="2024"/>
    <s v="Muu"/>
    <s v="https://www.riigiteataja.ee/akt/101062023004"/>
    <s v="Ettevõtluse ja Innovatsiooni Sihtasutus"/>
    <s v=""/>
    <s v="231540"/>
    <m/>
    <m/>
  </r>
  <r>
    <s v="231540/2400041"/>
    <s v="OÜ AMESTOP"/>
    <s v="231540/2400041"/>
    <n v="10697462"/>
    <s v="EE"/>
    <s v="Väikese suurusega ettevõtja (10-49 töötajat)"/>
    <s v="EE00 Eesti"/>
    <s v="38.2"/>
    <s v=""/>
    <n v="78180.11"/>
    <n v="156360.22"/>
    <s v="Rahaline toetus"/>
    <x v="51"/>
    <n v="2024"/>
    <s v="Muu"/>
    <s v="https://www.riigiteataja.ee/akt/101062023004"/>
    <s v="Ettevõtluse ja Innovatsiooni Sihtasutus"/>
    <s v=""/>
    <s v="231540"/>
    <m/>
    <m/>
  </r>
  <r>
    <s v="231540/2400040"/>
    <s v="aktsiaselts VALDEK"/>
    <s v="231540/2400040"/>
    <n v="10088533"/>
    <s v="EE"/>
    <s v="Keskmise suurusega ettevõtja (50-249 töötajat)"/>
    <s v="EE00 Eesti"/>
    <s v="25.9"/>
    <s v=""/>
    <n v="37140"/>
    <n v="123800"/>
    <s v="Rahaline toetus"/>
    <x v="52"/>
    <n v="2024"/>
    <s v="Muu"/>
    <s v="https://www.riigiteataja.ee/akt/101062023004"/>
    <s v="Ettevõtluse ja Innovatsiooni Sihtasutus"/>
    <s v=""/>
    <s v="231540"/>
    <m/>
    <m/>
  </r>
  <r>
    <s v="231540/2400039"/>
    <s v="Mikskaar Miksgrow AS"/>
    <s v="231540/2400039"/>
    <n v="10168344"/>
    <s v="EE"/>
    <s v="Keskmise suurusega ettevõtja (50-249 töötajat)"/>
    <s v="EE00 Eesti"/>
    <s v="08.9"/>
    <s v=""/>
    <n v="112000"/>
    <n v="280000"/>
    <s v="Rahaline toetus"/>
    <x v="53"/>
    <n v="2024"/>
    <s v="Muu"/>
    <s v="https://www.riigiteataja.ee/akt/101062023004"/>
    <s v="Ettevõtluse ja Innovatsiooni Sihtasutus"/>
    <s v=""/>
    <s v="231540"/>
    <m/>
    <m/>
  </r>
  <r>
    <s v="231540/2400038"/>
    <s v="Aktsiaselts Viljandi Veevärk"/>
    <s v="231540/2400038"/>
    <n v="10185182"/>
    <s v="EE"/>
    <s v="Suurettevõtja (250 ja üle töötajat)"/>
    <s v="EE00 Eesti"/>
    <s v="36.0"/>
    <s v=""/>
    <n v="36001.800000000003"/>
    <n v="120006"/>
    <s v="Rahaline toetus"/>
    <x v="54"/>
    <n v="2024"/>
    <s v="Muu"/>
    <s v="https://www.riigiteataja.ee/akt/101062023004"/>
    <s v="Ettevõtluse ja Innovatsiooni Sihtasutus"/>
    <s v=""/>
    <s v="231540"/>
    <m/>
    <m/>
  </r>
  <r>
    <s v="231540/2400037"/>
    <s v="Cooltec OÜ"/>
    <s v="231540/2400037"/>
    <n v="10920919"/>
    <s v="EE"/>
    <s v="Väikese suurusega ettevõtja (10-49 töötajat)"/>
    <s v="EE00 Eesti"/>
    <s v="28.2"/>
    <s v=""/>
    <n v="11101.6"/>
    <n v="27754"/>
    <s v="Rahaline toetus"/>
    <x v="55"/>
    <n v="2024"/>
    <s v="Muu"/>
    <s v="https://www.riigiteataja.ee/akt/101062023004"/>
    <s v="Ettevõtluse ja Innovatsiooni Sihtasutus"/>
    <s v=""/>
    <s v="231540"/>
    <m/>
    <m/>
  </r>
  <r>
    <s v="231540/2400036"/>
    <s v="Foor Jõhvi OÜ"/>
    <s v="231540/2400036"/>
    <n v="10032703"/>
    <s v="EE"/>
    <s v="Mikroettevõtja (1-9 töötajat)"/>
    <s v="EE00 Eesti"/>
    <s v="55.1"/>
    <s v=""/>
    <n v="24220"/>
    <n v="48440"/>
    <s v="Rahaline toetus"/>
    <x v="56"/>
    <n v="2024"/>
    <s v="Muu"/>
    <s v="https://www.riigiteataja.ee/akt/101062023004"/>
    <s v="Ettevõtluse ja Innovatsiooni Sihtasutus"/>
    <s v=""/>
    <s v="231540"/>
    <m/>
    <m/>
  </r>
  <r>
    <s v="231540/2400035"/>
    <s v="aktsiaselts WERMO"/>
    <s v="231540/2400035"/>
    <n v="10051010"/>
    <s v="EE"/>
    <s v="Keskmise suurusega ettevõtja (50-249 töötajat)"/>
    <s v="EE00 Eesti"/>
    <s v="31.0"/>
    <s v=""/>
    <n v="54000"/>
    <n v="135000"/>
    <s v="Rahaline toetus"/>
    <x v="57"/>
    <n v="2024"/>
    <s v="Muu"/>
    <s v="https://www.riigiteataja.ee/akt/101062023004"/>
    <s v="Ettevõtluse ja Innovatsiooni Sihtasutus"/>
    <s v=""/>
    <s v="231540"/>
    <m/>
    <m/>
  </r>
  <r>
    <s v="231540/2400034"/>
    <s v="VTM Pluss OÜ"/>
    <s v="231540/2400034"/>
    <n v="11218423"/>
    <s v="EE"/>
    <s v="Mikroettevõtja (1-9 töötajat)"/>
    <s v="EE00 Eesti"/>
    <s v="35.1"/>
    <s v=""/>
    <n v="12215"/>
    <n v="24430"/>
    <s v="Rahaline toetus"/>
    <x v="58"/>
    <n v="2024"/>
    <s v="Muu"/>
    <s v="https://www.riigiteataja.ee/akt/101062023004"/>
    <s v="Ettevõtluse ja Innovatsiooni Sihtasutus"/>
    <s v=""/>
    <s v="231540"/>
    <m/>
    <m/>
  </r>
  <r>
    <s v="231540/2400033"/>
    <s v="Aktsiaselts NARVA-JÕESUU SANATOORIUM"/>
    <s v="231540/2400033"/>
    <n v="10228767"/>
    <s v="EE"/>
    <s v="Keskmise suurusega ettevõtja (50-249 töötajat)"/>
    <s v="EE00 Eesti"/>
    <s v="35.1"/>
    <s v=""/>
    <n v="15032"/>
    <n v="37580"/>
    <s v="Rahaline toetus"/>
    <x v="59"/>
    <n v="2024"/>
    <s v="Muu"/>
    <s v="https://www.riigiteataja.ee/akt/101062023004"/>
    <s v="Ettevõtluse ja Innovatsiooni Sihtasutus"/>
    <s v=""/>
    <s v="231540"/>
    <m/>
    <m/>
  </r>
  <r>
    <s v="231540/2400031"/>
    <s v="Finest-Hall Factory OÜ"/>
    <s v="231540/2400031"/>
    <n v="12003860"/>
    <s v="EE"/>
    <s v="Väikese suurusega ettevõtja (10-49 töötajat)"/>
    <s v="EE00 Eesti"/>
    <s v="25.1"/>
    <s v=""/>
    <n v="27800"/>
    <n v="69500"/>
    <s v="Rahaline toetus"/>
    <x v="60"/>
    <n v="2024"/>
    <s v="Muu"/>
    <s v="https://www.riigiteataja.ee/akt/101062023004"/>
    <s v="Ettevõtluse ja Innovatsiooni Sihtasutus"/>
    <s v=""/>
    <s v="231540"/>
    <m/>
    <m/>
  </r>
  <r>
    <s v="231540/2400030"/>
    <s v="OÜ Aigren"/>
    <s v="231540/2400030"/>
    <n v="10853367"/>
    <s v="EE"/>
    <s v="Väikese suurusega ettevõtja (10-49 töötajat)"/>
    <s v="EE00 Eesti"/>
    <s v="08.1"/>
    <s v=""/>
    <n v="101332.5"/>
    <n v="202665"/>
    <s v="Rahaline toetus"/>
    <x v="61"/>
    <n v="2024"/>
    <s v="Muu"/>
    <s v="https://www.riigiteataja.ee/akt/101062023004"/>
    <s v="Ettevõtluse ja Innovatsiooni Sihtasutus"/>
    <s v=""/>
    <s v="231540"/>
    <m/>
    <m/>
  </r>
  <r>
    <s v="231540/2400032"/>
    <s v="AS SAMI"/>
    <s v="231540/2400032"/>
    <n v="10078210"/>
    <s v="EE"/>
    <s v="Keskmise suurusega ettevõtja (50-249 töötajat)"/>
    <s v="EE00 Eesti"/>
    <s v="35.1"/>
    <s v=""/>
    <n v="12522"/>
    <n v="41740"/>
    <s v="Rahaline toetus"/>
    <x v="61"/>
    <n v="2024"/>
    <s v="Muu"/>
    <s v="https://www.riigiteataja.ee/akt/101062023004"/>
    <s v="Ettevõtluse ja Innovatsiooni Sihtasutus"/>
    <s v=""/>
    <s v="231540"/>
    <m/>
    <m/>
  </r>
  <r>
    <s v="231540/2400029"/>
    <s v="OÜ NORDLUM"/>
    <s v="231540/2400029"/>
    <n v="12365907"/>
    <s v="EE"/>
    <s v="Väikese suurusega ettevõtja (10-49 töötajat)"/>
    <s v="EE00 Eesti"/>
    <s v="16.1"/>
    <s v=""/>
    <n v="138907.22"/>
    <n v="277814.43"/>
    <s v="Rahaline toetus"/>
    <x v="62"/>
    <n v="2024"/>
    <s v="Muu"/>
    <s v="https://www.riigiteataja.ee/akt/101062023004"/>
    <s v="Ettevõtluse ja Innovatsiooni Sihtasutus"/>
    <s v=""/>
    <s v="231540"/>
    <m/>
    <m/>
  </r>
  <r>
    <s v="231540/2400028"/>
    <s v="AS Schenker"/>
    <s v="231540/2400028"/>
    <n v="10344947"/>
    <s v="EE"/>
    <s v="Suurettevõtja (250 ja üle töötajat)"/>
    <s v="EE00 Eesti"/>
    <s v="52.2"/>
    <s v=""/>
    <n v="0"/>
    <s v=""/>
    <s v="Rahaline toetus"/>
    <x v="63"/>
    <n v="2024"/>
    <s v="Muu"/>
    <s v="https://www.riigiteataja.ee/akt/101062023004"/>
    <s v="Ettevõtluse ja Innovatsiooni Sihtasutus"/>
    <s v=""/>
    <s v="231540"/>
    <m/>
    <m/>
  </r>
  <r>
    <s v="231540/2400027"/>
    <s v="Osaühing Lisako"/>
    <s v="231540/2400027"/>
    <n v="10798944"/>
    <s v="EE"/>
    <s v="Keskmise suurusega ettevõtja (50-249 töötajat)"/>
    <s v="EE00 Eesti"/>
    <s v="28.3"/>
    <s v=""/>
    <n v="97494"/>
    <n v="243735"/>
    <s v="Rahaline toetus"/>
    <x v="64"/>
    <n v="2024"/>
    <s v="Muu"/>
    <s v="https://www.riigiteataja.ee/akt/101062023004"/>
    <s v="Ettevõtluse ja Innovatsiooni Sihtasutus"/>
    <s v=""/>
    <s v="231540"/>
    <m/>
    <m/>
  </r>
  <r>
    <s v="231540/2400026"/>
    <s v="Seart Production OÜ"/>
    <s v="231540/2400026"/>
    <n v="11617071"/>
    <s v="EE"/>
    <s v="Väikese suurusega ettevõtja (10-49 töötajat)"/>
    <s v="EE00 Eesti"/>
    <s v="32.3"/>
    <s v=""/>
    <n v="23888.3"/>
    <n v="47776.6"/>
    <s v="Rahaline toetus"/>
    <x v="65"/>
    <n v="2024"/>
    <s v="Muu"/>
    <s v="https://www.riigiteataja.ee/akt/101062023004"/>
    <s v="Ettevõtluse ja Innovatsiooni Sihtasutus"/>
    <s v=""/>
    <s v="231540"/>
    <m/>
    <m/>
  </r>
  <r>
    <s v="231540/2400025"/>
    <s v="OÜ Ravila Mõis"/>
    <s v="231540/2400025"/>
    <n v="12509981"/>
    <s v="EE"/>
    <s v="Mikroettevõtja (1-9 töötajat)"/>
    <s v="EE00 Eesti"/>
    <s v="55.1"/>
    <s v=""/>
    <n v="16240.8"/>
    <n v="40602"/>
    <s v="Rahaline toetus"/>
    <x v="66"/>
    <n v="2024"/>
    <s v="Muu"/>
    <s v="https://www.riigiteataja.ee/akt/101062023004"/>
    <s v="Ettevõtluse ja Innovatsiooni Sihtasutus"/>
    <s v=""/>
    <s v="231540"/>
    <m/>
    <m/>
  </r>
  <r>
    <s v="231540/2400024"/>
    <s v="MOVEK GRUPP OÜ"/>
    <s v="231540/2400024"/>
    <n v="10635596"/>
    <s v="EE"/>
    <s v="Väikese suurusega ettevõtja (10-49 töötajat)"/>
    <s v="EE00 Eesti"/>
    <s v="28.2"/>
    <s v=""/>
    <n v="18669"/>
    <n v="37338"/>
    <s v="Rahaline toetus"/>
    <x v="67"/>
    <n v="2024"/>
    <s v="Muu"/>
    <s v="https://www.riigiteataja.ee/akt/101062023004"/>
    <s v="Ettevõtluse ja Innovatsiooni Sihtasutus"/>
    <s v=""/>
    <s v="231540"/>
    <m/>
    <m/>
  </r>
  <r>
    <s v="231540/2400020"/>
    <s v="aktsiaselts Barrus"/>
    <s v="231540/2400020"/>
    <n v="10270580"/>
    <s v="EE"/>
    <s v="Suurettevõtja (250 ja üle töötajat)"/>
    <s v="EE00 Eesti"/>
    <s v="16.2"/>
    <s v=""/>
    <n v="20400"/>
    <n v="68000"/>
    <s v="Rahaline toetus"/>
    <x v="68"/>
    <n v="2024"/>
    <s v="Muu"/>
    <s v="https://www.riigiteataja.ee/akt/101062023004"/>
    <s v="Ettevõtluse ja Innovatsiooni Sihtasutus"/>
    <s v=""/>
    <s v="231540"/>
    <m/>
    <m/>
  </r>
  <r>
    <s v="231540/2400021"/>
    <s v="OÜ Jazz Selvepesulad"/>
    <s v="231540/2400021"/>
    <n v="11162830"/>
    <s v="EE"/>
    <s v="Suurettevõtja (250 ja üle töötajat)"/>
    <s v="EE00 Eesti"/>
    <s v="95.3"/>
    <s v=""/>
    <n v="10960.5"/>
    <n v="36535"/>
    <s v="Rahaline toetus"/>
    <x v="68"/>
    <n v="2024"/>
    <s v="Muu"/>
    <s v="https://www.riigiteataja.ee/akt/101062023004"/>
    <s v="Ettevõtluse ja Innovatsiooni Sihtasutus"/>
    <s v=""/>
    <s v="231540"/>
    <m/>
    <m/>
  </r>
  <r>
    <s v="231540/2400022"/>
    <s v="osaühing Jazz Pesulad"/>
    <s v="231540/2400022"/>
    <n v="11281775"/>
    <s v="EE"/>
    <s v="Suurettevõtja (250 ja üle töötajat)"/>
    <s v="EE00 Eesti"/>
    <s v="95.3"/>
    <s v=""/>
    <n v="14210.6"/>
    <n v="71053"/>
    <s v="Rahaline toetus"/>
    <x v="68"/>
    <n v="2024"/>
    <s v="Muu"/>
    <s v="https://www.riigiteataja.ee/akt/101062023004"/>
    <s v="Ettevõtluse ja Innovatsiooni Sihtasutus"/>
    <s v=""/>
    <s v="231540"/>
    <m/>
    <m/>
  </r>
  <r>
    <s v="231540/2400023"/>
    <s v="osaühing Jazz Pesulad"/>
    <s v="231540/2400023"/>
    <n v="11281775"/>
    <s v="EE"/>
    <s v="Suurettevõtja (250 ja üle töötajat)"/>
    <s v="EE00 Eesti"/>
    <s v="45.2"/>
    <s v=""/>
    <n v="50616"/>
    <n v="168720"/>
    <s v="Rahaline toetus"/>
    <x v="68"/>
    <n v="2024"/>
    <s v="Muu"/>
    <s v="https://www.riigiteataja.ee/akt/101062023004"/>
    <s v="Ettevõtluse ja Innovatsiooni Sihtasutus"/>
    <s v=""/>
    <s v="231540"/>
    <m/>
    <m/>
  </r>
  <r>
    <s v="231540/2400018"/>
    <s v="Aktsiaselts SEBE"/>
    <s v="231540/2400018"/>
    <n v="10077848"/>
    <s v="EE"/>
    <s v="Suurettevõtja (250 ja üle töötajat)"/>
    <s v="EE00 Eesti"/>
    <s v="49.3"/>
    <s v=""/>
    <n v="48239.4"/>
    <n v="160798"/>
    <s v="Rahaline toetus"/>
    <x v="69"/>
    <n v="2024"/>
    <s v="Muu"/>
    <s v="https://www.riigiteataja.ee/akt/101062023004"/>
    <s v="Ettevõtluse ja Innovatsiooni Sihtasutus"/>
    <s v=""/>
    <s v="231540"/>
    <m/>
    <m/>
  </r>
  <r>
    <s v="231540/2400019"/>
    <s v="OÜ KARUPESA HOTELL"/>
    <s v="Vigane 11"/>
    <n v="11006552"/>
    <s v="EE"/>
    <s v="Mikroettevõtja (1-9 töötajat)"/>
    <s v="EE00 Eesti"/>
    <s v="55.1"/>
    <s v=""/>
    <n v="30654.959999999999"/>
    <n v="62245.32"/>
    <s v="Rahaline toetus"/>
    <x v="69"/>
    <n v="2024"/>
    <s v="Muu"/>
    <s v="https://www.riigiteataja.ee/akt/101062023004"/>
    <s v="Ettevõtluse ja Innovatsiooni Sihtasutus"/>
    <s v=""/>
    <s v="231540"/>
    <m/>
    <m/>
  </r>
  <r>
    <s v="231540/2400016"/>
    <s v="osaühing PUIDU TAAVET"/>
    <s v="231540/2400016"/>
    <n v="10302662"/>
    <s v="EE"/>
    <s v="Väikese suurusega ettevõtja (10-49 töötajat)"/>
    <s v="EE00 Eesti"/>
    <s v="32.9"/>
    <s v=""/>
    <n v="42500"/>
    <n v="85000"/>
    <s v="Rahaline toetus"/>
    <x v="70"/>
    <n v="2024"/>
    <s v="Muu"/>
    <s v="https://www.riigiteataja.ee/akt/101062023004"/>
    <s v="Ettevõtluse ja Innovatsiooni Sihtasutus"/>
    <s v=""/>
    <s v="231540"/>
    <m/>
    <m/>
  </r>
  <r>
    <s v="231540/2400017"/>
    <s v="Adavere Meat OÜ"/>
    <s v="231540/2400017"/>
    <n v="12970040"/>
    <s v="EE"/>
    <s v="Keskmise suurusega ettevõtja (50-249 töötajat)"/>
    <s v="EE00 Eesti"/>
    <s v="10.1"/>
    <s v=""/>
    <n v="30726.400000000001"/>
    <n v="76816"/>
    <s v="Rahaline toetus"/>
    <x v="70"/>
    <n v="2024"/>
    <s v="Muu"/>
    <s v="https://www.riigiteataja.ee/akt/101062023004"/>
    <s v="Ettevõtluse ja Innovatsiooni Sihtasutus"/>
    <s v=""/>
    <s v="231540"/>
    <m/>
    <m/>
  </r>
  <r>
    <s v="231540/2400015"/>
    <s v="osaühing Enera"/>
    <s v="231540/2400015"/>
    <n v="10810378"/>
    <s v="EE"/>
    <s v="Keskmise suurusega ettevõtja (50-249 töötajat)"/>
    <s v="EE00 Eesti"/>
    <s v="55.2"/>
    <s v=""/>
    <n v="68000"/>
    <n v="170000"/>
    <s v="Rahaline toetus"/>
    <x v="71"/>
    <n v="2024"/>
    <s v="Muu"/>
    <s v="https://www.riigiteataja.ee/akt/101062023004"/>
    <s v="Ettevõtluse ja Innovatsiooni Sihtasutus"/>
    <s v=""/>
    <s v="231540"/>
    <m/>
    <m/>
  </r>
  <r>
    <s v="231540/2400014"/>
    <s v="Osaühing MEDIFUR"/>
    <s v="231540/2400014"/>
    <n v="10995277"/>
    <s v="EE"/>
    <s v="Mikroettevõtja (1-9 töötajat)"/>
    <s v="EE00 Eesti"/>
    <s v="32.5"/>
    <s v=""/>
    <n v="10092"/>
    <n v="25230"/>
    <s v="Rahaline toetus"/>
    <x v="72"/>
    <n v="2024"/>
    <s v="Muu"/>
    <s v="https://www.riigiteataja.ee/akt/101062023004"/>
    <s v="Ettevõtluse ja Innovatsiooni Sihtasutus"/>
    <s v=""/>
    <s v="231540"/>
    <m/>
    <m/>
  </r>
  <r>
    <s v="231540/2400013"/>
    <s v="OÜ BLAUTEAM"/>
    <s v="231540/2400013"/>
    <n v="11317450"/>
    <s v="EE"/>
    <s v="Väikese suurusega ettevõtja (10-49 töötajat)"/>
    <s v="EE00 Eesti"/>
    <s v="16.1"/>
    <s v=""/>
    <n v="43000"/>
    <n v="86000"/>
    <s v="Rahaline toetus"/>
    <x v="73"/>
    <n v="2024"/>
    <s v="Muu"/>
    <s v="https://www.riigiteataja.ee/akt/101062023004"/>
    <s v="Ettevõtluse ja Innovatsiooni Sihtasutus"/>
    <s v=""/>
    <s v="231540"/>
    <m/>
    <m/>
  </r>
  <r>
    <s v="231540/2400012"/>
    <s v="TULIPUNANE OÜ"/>
    <s v="231540/2400012"/>
    <n v="10560579"/>
    <s v="EE"/>
    <s v="Mikroettevõtja (1-9 töötajat)"/>
    <s v="EE00 Eesti"/>
    <s v="71.1"/>
    <s v=""/>
    <n v="36973.5"/>
    <n v="73947"/>
    <s v="Rahaline toetus"/>
    <x v="74"/>
    <n v="2024"/>
    <s v="Muu"/>
    <s v="https://www.riigiteataja.ee/akt/101062023004"/>
    <s v="Ettevõtluse ja Innovatsiooni Sihtasutus"/>
    <s v=""/>
    <s v="231540"/>
    <m/>
    <m/>
  </r>
  <r>
    <s v="231540/2400011"/>
    <s v="osaühing ORTHEZ"/>
    <s v="231540/2400011"/>
    <n v="10269772"/>
    <s v="EE"/>
    <s v="Väikese suurusega ettevõtja (10-49 töötajat)"/>
    <s v="EE00 Eesti"/>
    <s v="16.2"/>
    <s v=""/>
    <n v="27500"/>
    <n v="55000"/>
    <s v="Rahaline toetus"/>
    <x v="75"/>
    <n v="2024"/>
    <s v="Muu"/>
    <s v="https://www.riigiteataja.ee/akt/101062023004"/>
    <s v="Ettevõtluse ja Innovatsiooni Sihtasutus"/>
    <s v=""/>
    <s v="231540"/>
    <m/>
    <m/>
  </r>
  <r>
    <s v="231540/2400008"/>
    <s v="Osaühing Lahekala"/>
    <s v="Vigane 10"/>
    <n v="10899349"/>
    <s v="EE"/>
    <s v="Väikese suurusega ettevõtja (10-49 töötajat)"/>
    <s v="EE00 Eesti"/>
    <s v="10.9"/>
    <s v=""/>
    <n v="35787.449999999997"/>
    <n v="77971"/>
    <s v="Rahaline toetus"/>
    <x v="76"/>
    <n v="2024"/>
    <s v="Muu"/>
    <s v="https://www.riigiteataja.ee/akt/101062023004"/>
    <s v="Ettevõtluse ja Innovatsiooni Sihtasutus"/>
    <s v=""/>
    <s v="231540"/>
    <m/>
    <m/>
  </r>
  <r>
    <s v="231540/2400009"/>
    <s v="aktsiaselts Eleväli"/>
    <s v="Vigane 7"/>
    <n v="10274158"/>
    <s v="EE"/>
    <s v="Väikese suurusega ettevõtja (10-49 töötajat)"/>
    <s v="EE00 Eesti"/>
    <s v="42.2"/>
    <s v=""/>
    <n v="49020"/>
    <n v="119900"/>
    <s v="Rahaline toetus"/>
    <x v="76"/>
    <n v="2024"/>
    <s v="Muu"/>
    <s v="https://www.riigiteataja.ee/akt/101062023004"/>
    <s v="Ettevõtluse ja Innovatsiooni Sihtasutus"/>
    <s v=""/>
    <s v="231540"/>
    <m/>
    <m/>
  </r>
  <r>
    <s v="231540/2400010"/>
    <s v="Osaühing Pesumaja REA"/>
    <s v="231540/2400010"/>
    <n v="10165009"/>
    <s v="EE"/>
    <s v="Väikese suurusega ettevõtja (10-49 töötajat)"/>
    <s v="EE00 Eesti"/>
    <s v="96.9"/>
    <s v=""/>
    <n v="9753"/>
    <n v="19506"/>
    <s v="Rahaline toetus"/>
    <x v="76"/>
    <n v="2024"/>
    <s v="Muu"/>
    <s v="https://www.riigiteataja.ee/akt/101062023004"/>
    <s v="Ettevõtluse ja Innovatsiooni Sihtasutus"/>
    <s v=""/>
    <s v="231540"/>
    <m/>
    <m/>
  </r>
  <r>
    <s v="231540/2400007"/>
    <s v="aktsiaselts VÕRU VESI"/>
    <s v="Vigane 1"/>
    <n v="10004973"/>
    <s v="EE"/>
    <s v="Suurettevõtja (250 ja üle töötajat)"/>
    <s v="EE00 Eesti"/>
    <s v="36.0"/>
    <s v=""/>
    <n v="5850"/>
    <n v="25000"/>
    <s v="Rahaline toetus"/>
    <x v="77"/>
    <n v="2024"/>
    <s v="Muu"/>
    <s v="https://www.riigiteataja.ee/akt/101062023004"/>
    <s v="Ettevõtluse ja Innovatsiooni Sihtasutus"/>
    <s v=""/>
    <s v="231540"/>
    <m/>
    <m/>
  </r>
  <r>
    <s v="231540/2400006"/>
    <s v="AS Paldiski Tsingipada"/>
    <s v="231540/2400006"/>
    <n v="11309048"/>
    <s v="EE"/>
    <s v="Suurettevõtja (250 ja üle töötajat)"/>
    <s v="EE00 Eesti"/>
    <s v="25.5"/>
    <s v=""/>
    <n v="39000"/>
    <n v="195000"/>
    <s v="Rahaline toetus"/>
    <x v="78"/>
    <n v="2024"/>
    <s v="Muu"/>
    <s v="https://www.riigiteataja.ee/akt/101062023004"/>
    <s v="Ettevõtluse ja Innovatsiooni Sihtasutus"/>
    <s v=""/>
    <s v="231540"/>
    <m/>
    <m/>
  </r>
  <r>
    <s v="231540/2400005"/>
    <s v="Lokuta Kaater OÜ"/>
    <s v="Vigane 6"/>
    <n v="10493647"/>
    <s v="EE"/>
    <s v="Väikese suurusega ettevõtja (10-49 töötajat)"/>
    <s v="EE00 Eesti"/>
    <s v="16.1"/>
    <s v=""/>
    <n v="20484.41"/>
    <n v="45000"/>
    <s v="Rahaline toetus"/>
    <x v="79"/>
    <n v="2024"/>
    <s v="Muu"/>
    <s v="https://www.riigiteataja.ee/akt/101062023004"/>
    <s v="Ettevõtluse ja Innovatsiooni Sihtasutus"/>
    <s v=""/>
    <s v="231540"/>
    <m/>
    <m/>
  </r>
  <r>
    <s v="231540/2400004"/>
    <s v="AS Valga Depoo"/>
    <s v="Vigane 8"/>
    <n v="10803289"/>
    <s v="EE"/>
    <s v="Suurettevõtja (250 ja üle töötajat)"/>
    <s v="EE00 Eesti"/>
    <s v="33.1"/>
    <s v=""/>
    <n v="23348.28"/>
    <n v="91233"/>
    <s v="Rahaline toetus"/>
    <x v="80"/>
    <n v="2024"/>
    <s v="Muu"/>
    <s v="https://www.riigiteataja.ee/akt/101062023004"/>
    <s v="Ettevõtluse ja Innovatsiooni Sihtasutus"/>
    <s v=""/>
    <s v="231540"/>
    <m/>
    <m/>
  </r>
  <r>
    <s v="231540/2400003"/>
    <s v="osaühing Põlmer"/>
    <s v="Vigane 2"/>
    <n v="10021405"/>
    <s v="EE"/>
    <s v="Mikroettevõtja (1-9 töötajat)"/>
    <s v="EE00 Eesti"/>
    <s v="25.9"/>
    <s v=""/>
    <n v="4635"/>
    <n v="20000"/>
    <s v="Rahaline toetus"/>
    <x v="81"/>
    <n v="2024"/>
    <s v="Muu"/>
    <s v="https://www.riigiteataja.ee/akt/101062023004"/>
    <s v="Ettevõtluse ja Innovatsiooni Sihtasutus"/>
    <s v=""/>
    <s v="231540"/>
    <m/>
    <m/>
  </r>
  <r>
    <s v="231540/2400002"/>
    <s v="Aktsiaselts Sillamäe-Veevärk"/>
    <s v="231540/2400002"/>
    <n v="10339515"/>
    <s v="EE"/>
    <s v="Suurettevõtja (250 ja üle töötajat)"/>
    <s v="EE00 Eesti"/>
    <s v="35.1"/>
    <s v=""/>
    <n v="10904.7"/>
    <n v="36349"/>
    <s v="Rahaline toetus"/>
    <x v="82"/>
    <n v="2024"/>
    <s v="Muu"/>
    <s v="https://www.riigiteataja.ee/akt/101062023004"/>
    <s v="Ettevõtluse ja Innovatsiooni Sihtasutus"/>
    <s v=""/>
    <s v="231540"/>
    <m/>
    <m/>
  </r>
  <r>
    <s v="231540/2400001"/>
    <s v="osaühing Kalla Mööbel"/>
    <s v="231540/2400001"/>
    <n v="10216540"/>
    <s v="EE"/>
    <s v="Väikese suurusega ettevõtja (10-49 töötajat)"/>
    <s v="EE00 Eesti"/>
    <s v="31.0"/>
    <s v=""/>
    <n v="37500"/>
    <n v="75000"/>
    <s v="Rahaline toetus"/>
    <x v="83"/>
    <n v="2024"/>
    <s v="Muu"/>
    <s v="https://www.riigiteataja.ee/akt/101062023004"/>
    <s v="Ettevõtluse ja Innovatsiooni Sihtasutus"/>
    <s v=""/>
    <s v="231540"/>
    <m/>
    <m/>
  </r>
  <r>
    <s v="231540/2300017"/>
    <s v="VTM Pluss OÜ"/>
    <s v="231540/2300017"/>
    <n v="11218423"/>
    <s v="EE"/>
    <s v="Mikroettevõtja (1-9 töötajat)"/>
    <s v="EE00 Eesti"/>
    <s v="35.1"/>
    <s v=""/>
    <n v="18749.689999999999"/>
    <n v="37499.370000000003"/>
    <s v="Rahaline toetus"/>
    <x v="84"/>
    <n v="2023"/>
    <s v="Muu"/>
    <s v="https://www.riigiteataja.ee/akt/101062023004"/>
    <s v="Ettevõtluse ja Innovatsiooni Sihtasutus"/>
    <s v=""/>
    <s v="231540"/>
    <m/>
    <m/>
  </r>
  <r>
    <s v="231540/2300016"/>
    <s v="Meeskonnatreeningud OÜ"/>
    <s v="231540/2300016"/>
    <n v="12864711"/>
    <s v="EE"/>
    <s v="Mikroettevõtja (1-9 töötajat)"/>
    <s v="EE00 Eesti"/>
    <s v="55.2"/>
    <s v=""/>
    <n v="0"/>
    <s v=""/>
    <s v="Rahaline toetus"/>
    <x v="85"/>
    <n v="2023"/>
    <s v="Muu"/>
    <s v="https://www.riigiteataja.ee/akt/101062023004"/>
    <s v="Ettevõtluse ja Innovatsiooni Sihtasutus"/>
    <s v=""/>
    <s v="231540"/>
    <m/>
    <m/>
  </r>
  <r>
    <s v="231540/2300014"/>
    <s v="Helland Baltic OÜ"/>
    <s v="231540/2300014"/>
    <n v="12570665"/>
    <s v="EE"/>
    <s v="Keskmise suurusega ettevõtja (50-249 töötajat)"/>
    <s v="EE00 Eesti"/>
    <s v="31.0"/>
    <s v=""/>
    <n v="74000"/>
    <n v="185000"/>
    <s v="Rahaline toetus"/>
    <x v="86"/>
    <n v="2023"/>
    <s v="Muu"/>
    <s v="https://www.riigiteataja.ee/akt/101062023004"/>
    <s v="Ettevõtluse ja Innovatsiooni Sihtasutus"/>
    <s v=""/>
    <s v="231540"/>
    <m/>
    <m/>
  </r>
  <r>
    <s v="231540/2300013"/>
    <s v="Südamekodud AS"/>
    <s v="Vigane 14"/>
    <n v="14168513"/>
    <s v="EE"/>
    <s v="Suurettevõtja (250 ja üle töötajat)"/>
    <s v="EE00 Eesti"/>
    <s v="87.3"/>
    <s v=""/>
    <n v="7137"/>
    <n v="25000"/>
    <s v="Rahaline toetus"/>
    <x v="87"/>
    <n v="2023"/>
    <s v="Muu"/>
    <s v="https://www.riigiteataja.ee/akt/101062023004"/>
    <s v="Ettevõtluse ja Innovatsiooni Sihtasutus"/>
    <s v=""/>
    <s v="231540"/>
    <m/>
    <m/>
  </r>
  <r>
    <s v="231540/2300015"/>
    <s v="Osaühing B&amp;W Metall"/>
    <s v="231540/2300015"/>
    <n v="11377067"/>
    <s v="EE"/>
    <s v="Väikese suurusega ettevõtja (10-49 töötajat)"/>
    <s v="EE00 Eesti"/>
    <s v="25.1"/>
    <s v=""/>
    <n v="31957.9"/>
    <n v="63915.8"/>
    <s v="Rahaline toetus"/>
    <x v="88"/>
    <n v="2023"/>
    <s v="Muu"/>
    <s v="https://www.riigiteataja.ee/akt/101062023004"/>
    <s v="Ettevõtluse ja Innovatsiooni Sihtasutus"/>
    <s v=""/>
    <s v="231540"/>
    <m/>
    <m/>
  </r>
  <r>
    <s v="231540/2300012"/>
    <s v="Shroomwell OÜ"/>
    <s v="231540/2300012"/>
    <n v="12670125"/>
    <s v="EE"/>
    <s v="Väikese suurusega ettevõtja (10-49 töötajat)"/>
    <s v="EE00 Eesti"/>
    <s v="10.8"/>
    <s v=""/>
    <n v="63500"/>
    <n v="127000"/>
    <s v="Rahaline toetus"/>
    <x v="89"/>
    <n v="2023"/>
    <s v="Muu"/>
    <s v="https://www.riigiteataja.ee/akt/101062023004"/>
    <s v="Ettevõtluse ja Innovatsiooni Sihtasutus"/>
    <s v=""/>
    <s v="231540"/>
    <m/>
    <m/>
  </r>
  <r>
    <s v="231540/2300011"/>
    <s v="HAKA Plast Osaühing"/>
    <s v="Vigane 9"/>
    <n v="10897652"/>
    <s v="EE"/>
    <s v="Väikese suurusega ettevõtja (10-49 töötajat)"/>
    <s v="EE00 Eesti"/>
    <s v="22.2"/>
    <s v=""/>
    <n v="32550"/>
    <n v="78700"/>
    <s v="Rahaline toetus"/>
    <x v="90"/>
    <n v="2023"/>
    <s v="Muu"/>
    <s v="https://www.riigiteataja.ee/akt/101062023004"/>
    <s v="Ettevõtluse ja Innovatsiooni Sihtasutus"/>
    <s v=""/>
    <s v="231540"/>
    <m/>
    <m/>
  </r>
  <r>
    <s v="231540/2300010"/>
    <s v="AS SAMI"/>
    <s v="231540/2300010"/>
    <n v="10078210"/>
    <s v="EE"/>
    <s v="Keskmise suurusega ettevõtja (50-249 töötajat)"/>
    <s v="EE00 Eesti"/>
    <s v="35.1"/>
    <s v=""/>
    <n v="55548"/>
    <n v="185160"/>
    <s v="Rahaline toetus"/>
    <x v="91"/>
    <n v="2023"/>
    <s v="Muu"/>
    <s v="https://www.riigiteataja.ee/akt/101062023004"/>
    <s v="Ettevõtluse ja Innovatsiooni Sihtasutus"/>
    <s v=""/>
    <s v="231540"/>
    <m/>
    <m/>
  </r>
  <r>
    <s v="231540/2300008"/>
    <s v="AS SAMI Tootmine"/>
    <s v="231540/2300008"/>
    <n v="10440415"/>
    <s v="EE"/>
    <s v="Keskmise suurusega ettevõtja (50-249 töötajat)"/>
    <s v="EE00 Eesti"/>
    <s v="35.1"/>
    <s v=""/>
    <n v="32796.82"/>
    <n v="81992.05"/>
    <s v="Rahaline toetus"/>
    <x v="92"/>
    <n v="2023"/>
    <s v="Muu"/>
    <s v="https://www.riigiteataja.ee/akt/101062023004"/>
    <s v="Ettevõtluse ja Innovatsiooni Sihtasutus"/>
    <s v=""/>
    <s v="231540"/>
    <m/>
    <m/>
  </r>
  <r>
    <s v="231540/2300009"/>
    <s v="AS SAMI"/>
    <s v="231540/2300009"/>
    <n v="10078210"/>
    <s v="EE"/>
    <s v="Keskmise suurusega ettevõtja (50-249 töötajat)"/>
    <s v="EE00 Eesti"/>
    <s v="35.1"/>
    <s v=""/>
    <n v="23322"/>
    <n v="77740"/>
    <s v="Rahaline toetus"/>
    <x v="92"/>
    <n v="2023"/>
    <s v="Muu"/>
    <s v="https://www.riigiteataja.ee/akt/101062023004"/>
    <s v="Ettevõtluse ja Innovatsiooni Sihtasutus"/>
    <s v=""/>
    <s v="231540"/>
    <m/>
    <m/>
  </r>
  <r>
    <s v="231540/2300007"/>
    <s v="osaühing ORTHEZ"/>
    <s v="Vigane 5"/>
    <n v="10269772"/>
    <s v="EE"/>
    <s v="Väikese suurusega ettevõtja (10-49 töötajat)"/>
    <s v="EE00 Eesti"/>
    <s v="16.2"/>
    <s v=""/>
    <n v="57749.34"/>
    <n v="151500"/>
    <s v="Rahaline toetus"/>
    <x v="93"/>
    <n v="2023"/>
    <s v="Muu"/>
    <s v="https://www.riigiteataja.ee/akt/101062023004"/>
    <s v="Ettevõtluse ja Innovatsiooni Sihtasutus"/>
    <s v=""/>
    <s v="231540"/>
    <m/>
    <s v="Vigane 5"/>
  </r>
  <r>
    <s v="231540/2300006"/>
    <s v="VTM Pluss OÜ"/>
    <s v="231540/2300006"/>
    <n v="11218423"/>
    <s v="EE"/>
    <s v="Mikroettevõtja (1-9 töötajat)"/>
    <s v="EE00 Eesti"/>
    <s v="35.1"/>
    <s v=""/>
    <n v="13794.39"/>
    <n v="27588.78"/>
    <s v="Rahaline toetus"/>
    <x v="94"/>
    <n v="2023"/>
    <s v="Muu"/>
    <s v="https://www.riigiteataja.ee/akt/101062023004"/>
    <s v="Ettevõtluse ja Innovatsiooni Sihtasutus"/>
    <s v=""/>
    <s v="231540"/>
    <m/>
    <m/>
  </r>
  <r>
    <s v="231540/2300005"/>
    <s v="aktsiaselts FÖRMANN NT"/>
    <s v="231540/2300005"/>
    <n v="10086633"/>
    <s v="EE"/>
    <s v="Väikese suurusega ettevõtja (10-49 töötajat)"/>
    <s v="EE00 Eesti"/>
    <s v="35.1"/>
    <s v=""/>
    <n v="18959"/>
    <n v="37918"/>
    <s v="Rahaline toetus"/>
    <x v="95"/>
    <n v="2023"/>
    <s v="Muu"/>
    <s v="https://www.riigiteataja.ee/akt/101062023004"/>
    <s v="Ettevõtluse ja Innovatsiooni Sihtasutus"/>
    <s v=""/>
    <s v="231540"/>
    <m/>
    <m/>
  </r>
  <r>
    <s v="231540/2300004"/>
    <s v="aktsiaselts Reideni plaat"/>
    <s v="Vigane 3"/>
    <n v="10033236"/>
    <s v="EE"/>
    <s v="Keskmise suurusega ettevõtja (50-249 töötajat)"/>
    <s v="EE00 Eesti"/>
    <s v="22.2"/>
    <s v=""/>
    <n v="61943.48"/>
    <n v="187000"/>
    <s v="Rahaline toetus"/>
    <x v="96"/>
    <n v="2023"/>
    <s v="Muu"/>
    <s v="https://www.riigiteataja.ee/akt/101062023004"/>
    <s v="Ettevõtluse ja Innovatsiooni Sihtasutus"/>
    <s v=""/>
    <s v="231540"/>
    <m/>
    <m/>
  </r>
  <r>
    <s v="231540/2300001"/>
    <s v="Koriks-Fiiber OÜ"/>
    <s v="231540/2300001"/>
    <n v="10959488"/>
    <s v="EE"/>
    <s v="Väikese suurusega ettevõtja (10-49 töötajat)"/>
    <s v="EE00 Eesti"/>
    <s v="42.9"/>
    <s v=""/>
    <n v="20662.400000000001"/>
    <n v="51656"/>
    <s v="Rahaline toetus"/>
    <x v="97"/>
    <n v="2023"/>
    <s v="Muu"/>
    <s v="https://www.riigiteataja.ee/akt/101062023004"/>
    <s v="Ettevõtluse ja Innovatsiooni Sihtasutus"/>
    <s v=""/>
    <s v="231540"/>
    <m/>
    <m/>
  </r>
  <r>
    <s v="231540/2300002"/>
    <s v="AS Pinest"/>
    <s v="Vigane 13"/>
    <n v="11139468"/>
    <s v="EE"/>
    <s v="Suurettevõtja (250 ja üle töötajat)"/>
    <s v="EE00 Eesti"/>
    <s v="16.2"/>
    <s v=""/>
    <n v="67996.5"/>
    <n v="240000"/>
    <s v="Rahaline toetus"/>
    <x v="97"/>
    <n v="2023"/>
    <s v="Muu"/>
    <s v="https://www.riigiteataja.ee/akt/101062023004"/>
    <s v="Ettevõtluse ja Innovatsiooni Sihtasutus"/>
    <s v=""/>
    <s v="231540"/>
    <m/>
    <m/>
  </r>
  <r>
    <s v="231540/2300003"/>
    <s v="MARREK PUIT OÜ"/>
    <s v="Vigane 12"/>
    <n v="10934040"/>
    <s v="EE"/>
    <s v="Väikese suurusega ettevõtja (10-49 töötajat)"/>
    <s v="EE00 Eesti"/>
    <s v="16.1"/>
    <s v=""/>
    <n v="34790"/>
    <n v="70000"/>
    <s v="Rahaline toetus"/>
    <x v="97"/>
    <n v="2023"/>
    <s v="Muu"/>
    <s v="https://www.riigiteataja.ee/akt/101062023004"/>
    <s v="Ettevõtluse ja Innovatsiooni Sihtasutus"/>
    <s v=""/>
    <s v="231540"/>
    <m/>
    <m/>
  </r>
  <r>
    <s v="251802/2500003"/>
    <s v="AS SAMI"/>
    <s v="251802/2500003"/>
    <n v="10078210"/>
    <s v="EE"/>
    <s v="Keskmise suurusega ettevõtja (50-249 töötajat)"/>
    <s v="EE00 Eesti"/>
    <s v="35.1"/>
    <s v=""/>
    <n v="20114.400000000001"/>
    <n v="67048"/>
    <s v="Rahaline toetus"/>
    <x v="3"/>
    <n v="2025"/>
    <s v="Taastuvallikatest toodetud energia edendamisse tehtavateks investeeringuteks ettenähtud abi (artikkel 41)"/>
    <s v="https://www.riigiteataja.ee/akt/101062023004"/>
    <s v="Ettevõtluse ja Innovatsiooni Sihtasutus"/>
    <s v="SA.118048"/>
    <s v="251802"/>
    <m/>
    <m/>
  </r>
  <r>
    <s v="251802/2500004"/>
    <s v="Aktsiaselts KONESKO"/>
    <s v="251802/2500004"/>
    <n v="10047497"/>
    <s v="EE"/>
    <s v="Suurettevõtja (250 ja üle töötajat)"/>
    <s v="EE00 Eesti"/>
    <s v="35.1"/>
    <s v=""/>
    <n v="80458.2"/>
    <n v="268194"/>
    <s v="Rahaline toetus"/>
    <x v="4"/>
    <n v="2025"/>
    <s v="Taastuvallikatest toodetud energia edendamisse tehtavateks investeeringuteks ettenähtud abi (artikkel 41)"/>
    <s v="https://www.riigiteataja.ee/akt/101062023004"/>
    <s v="Ettevõtluse ja Innovatsiooni Sihtasutus"/>
    <s v="SA.118048"/>
    <s v="251802"/>
    <m/>
    <m/>
  </r>
  <r>
    <s v="251802/2500005"/>
    <s v="Aktsiaselts Hansa Candle"/>
    <s v="251802/2500005"/>
    <n v="10131803"/>
    <s v="EE"/>
    <s v="Keskmise suurusega ettevõtja (50-249 töötajat)"/>
    <s v="EE00 Eesti"/>
    <s v="32.9"/>
    <s v=""/>
    <n v="248685.3"/>
    <n v="581943"/>
    <s v="Rahaline toetus"/>
    <x v="4"/>
    <n v="2025"/>
    <s v="Taastuvallikatest toodetud energia edendamisse tehtavateks investeeringuteks ettenähtud abi (artikkel 41)"/>
    <s v="https://www.riigiteataja.ee/akt/101062023004"/>
    <s v="Ettevõtluse ja Innovatsiooni Sihtasutus"/>
    <s v="SA.118048"/>
    <s v="251802"/>
    <m/>
    <m/>
  </r>
  <r>
    <s v="251802/2500002"/>
    <s v="AS Saku Metall Uksetehas"/>
    <s v="251802/2500002"/>
    <n v="12318492"/>
    <s v="EE"/>
    <s v="Suurettevõtja (250 ja üle töötajat)"/>
    <s v="EE00 Eesti"/>
    <s v="35.1"/>
    <s v=""/>
    <n v="103500"/>
    <n v="230000"/>
    <s v="Rahaline toetus"/>
    <x v="22"/>
    <n v="2025"/>
    <s v="Taastuvallikatest toodetud energia edendamisse tehtavateks investeeringuteks ettenähtud abi (artikkel 41)"/>
    <s v="https://www.riigiteataja.ee/akt/101062023004"/>
    <s v="Ettevõtluse ja Innovatsiooni Sihtasutus"/>
    <s v="SA.118048"/>
    <s v="251802"/>
    <m/>
    <m/>
  </r>
  <r>
    <s v="251802/2500001"/>
    <s v="Viljandi Metall AS"/>
    <s v="Vigane 4"/>
    <n v="10131766"/>
    <s v="EE"/>
    <s v="Suurettevõtja (250 ja üle töötajat)"/>
    <s v="EE00 Eesti"/>
    <s v="68.2"/>
    <s v=""/>
    <n v="41417.1"/>
    <n v="679215.94"/>
    <s v="Rahaline toetus"/>
    <x v="28"/>
    <n v="2025"/>
    <s v="Taastuvallikatest toodetud energia edendamisse tehtavateks investeeringuteks ettenähtud abi (artikkel 41)"/>
    <s v="https://www.riigiteataja.ee/akt/101062023004"/>
    <s v="Ettevõtluse ja Innovatsiooni Sihtasutus"/>
    <s v="SA.118048"/>
    <s v="251802"/>
    <m/>
    <m/>
  </r>
  <r>
    <s v="231599/2400028"/>
    <s v="Airok OÜ"/>
    <s v="231599/2400028"/>
    <n v="10900160"/>
    <s v="EE"/>
    <s v="Keskmise suurusega ettevõtja (50-249 töötajat)"/>
    <s v="EE00 Eesti"/>
    <s v="20.1"/>
    <s v=""/>
    <n v="93089.2"/>
    <n v="232723"/>
    <s v="Rahaline toetus"/>
    <x v="98"/>
    <n v="2024"/>
    <s v="Komisjoni teatise jaotis 2.1 &quot;Piiratud abisummad&quot;  "/>
    <s v="https://www.riigiteataja.ee/akt/101062023004"/>
    <s v="Ettevõtluse ja Innovatsiooni Sihtasutus"/>
    <s v="SA.110542"/>
    <s v="231599"/>
    <m/>
    <m/>
  </r>
  <r>
    <s v="231599/2400026"/>
    <s v="Kagu Elekter OÜ"/>
    <s v="231599/2400026"/>
    <n v="11632588"/>
    <s v="EE"/>
    <s v="Väikese suurusega ettevõtja (10-49 töötajat)"/>
    <s v="EE00 Eesti"/>
    <s v="42.2"/>
    <s v=""/>
    <n v="217150.5"/>
    <n v="434301"/>
    <s v="Rahaline toetus"/>
    <x v="61"/>
    <n v="2024"/>
    <s v="Komisjoni teatise jaotis 2.1 &quot;Piiratud abisummad&quot;  "/>
    <s v="https://www.riigiteataja.ee/akt/101062023004"/>
    <s v="Ettevõtluse ja Innovatsiooni Sihtasutus"/>
    <s v="SA.110542"/>
    <s v="231599"/>
    <m/>
    <m/>
  </r>
  <r>
    <s v="231599/2400027"/>
    <s v="Tennisekeskus OÜ"/>
    <s v="231599/2400027"/>
    <n v="11540030"/>
    <s v="EE"/>
    <s v="Keskmise suurusega ettevõtja (50-249 töötajat)"/>
    <s v="EE00 Eesti"/>
    <s v="93.1"/>
    <s v=""/>
    <n v="12396"/>
    <n v="30990"/>
    <s v="Rahaline toetus"/>
    <x v="61"/>
    <n v="2024"/>
    <s v="Komisjoni teatise jaotis 2.1 &quot;Piiratud abisummad&quot;  "/>
    <s v="https://www.riigiteataja.ee/akt/101062023004"/>
    <s v="Ettevõtluse ja Innovatsiooni Sihtasutus"/>
    <s v="SA.110542"/>
    <s v="231599"/>
    <m/>
    <m/>
  </r>
  <r>
    <s v="231599/2400025"/>
    <s v="Krah Pipes OÜ"/>
    <s v="231599/2400025"/>
    <n v="11366000"/>
    <s v="EE"/>
    <s v="Väikese suurusega ettevõtja (10-49 töötajat)"/>
    <s v="EE00 Eesti"/>
    <s v="22.2"/>
    <s v=""/>
    <n v="66000"/>
    <n v="165000"/>
    <s v="Rahaline toetus"/>
    <x v="62"/>
    <n v="2024"/>
    <s v="Komisjoni teatise jaotis 2.1 &quot;Piiratud abisummad&quot;  "/>
    <s v="https://www.riigiteataja.ee/akt/101062023004"/>
    <s v="Ettevõtluse ja Innovatsiooni Sihtasutus"/>
    <s v="SA.110542"/>
    <s v="231599"/>
    <m/>
    <m/>
  </r>
  <r>
    <s v="231599/2400024"/>
    <s v="Nefab Packaging OÜ"/>
    <s v="231599/2400024"/>
    <n v="11769005"/>
    <s v="EE"/>
    <s v="Suurettevõtja (250 ja üle töötajat)"/>
    <s v="EE00 Eesti"/>
    <s v="16.2"/>
    <s v=""/>
    <n v="46000"/>
    <n v="230000"/>
    <s v="Rahaline toetus"/>
    <x v="99"/>
    <n v="2024"/>
    <s v="Komisjoni teatise jaotis 2.1 &quot;Piiratud abisummad&quot;  "/>
    <s v="https://www.riigiteataja.ee/akt/101062023004"/>
    <s v="Ettevõtluse ja Innovatsiooni Sihtasutus"/>
    <s v="SA.110542"/>
    <s v="231599"/>
    <m/>
    <m/>
  </r>
  <r>
    <s v="231599/2400022"/>
    <s v="Danspin AS"/>
    <s v="231599/2400022"/>
    <n v="10357045"/>
    <s v="EE"/>
    <s v="Suurettevõtja (250 ja üle töötajat)"/>
    <s v="EE00 Eesti"/>
    <s v="35.1"/>
    <s v=""/>
    <n v="35663.699999999997"/>
    <n v="118879"/>
    <s v="Rahaline toetus"/>
    <x v="64"/>
    <n v="2024"/>
    <s v="Komisjoni teatise jaotis 2.1 &quot;Piiratud abisummad&quot;  "/>
    <s v="https://www.riigiteataja.ee/akt/101062023004"/>
    <s v="Ettevõtluse ja Innovatsiooni Sihtasutus"/>
    <s v="SA.110542"/>
    <s v="231599"/>
    <m/>
    <m/>
  </r>
  <r>
    <s v="231599/2400023"/>
    <s v="Osaühing NOVARA"/>
    <s v="231599/2400023"/>
    <n v="10975056"/>
    <s v="EE"/>
    <s v="Keskmise suurusega ettevõtja (50-249 töötajat)"/>
    <s v="EE00 Eesti"/>
    <s v="16.2"/>
    <s v=""/>
    <n v="150000"/>
    <n v="375000"/>
    <s v="Rahaline toetus"/>
    <x v="64"/>
    <n v="2024"/>
    <s v="Komisjoni teatise jaotis 2.1 &quot;Piiratud abisummad&quot;  "/>
    <s v="https://www.riigiteataja.ee/akt/101062023004"/>
    <s v="Ettevõtluse ja Innovatsiooni Sihtasutus"/>
    <s v="SA.110542"/>
    <s v="231599"/>
    <m/>
    <m/>
  </r>
  <r>
    <s v="231599/2400021"/>
    <s v="KMG OÜ"/>
    <s v="231599/2400021"/>
    <n v="16196755"/>
    <s v="EE"/>
    <s v="Keskmise suurusega ettevõtja (50-249 töötajat)"/>
    <s v="EE00 Eesti"/>
    <s v="42.1"/>
    <s v=""/>
    <n v="57000"/>
    <n v="190000"/>
    <s v="Rahaline toetus"/>
    <x v="100"/>
    <n v="2024"/>
    <s v="Komisjoni teatise jaotis 2.1 &quot;Piiratud abisummad&quot;  "/>
    <s v="https://www.riigiteataja.ee/akt/101062023004"/>
    <s v="Ettevõtluse ja Innovatsiooni Sihtasutus"/>
    <s v="SA.110542"/>
    <s v="231599"/>
    <m/>
    <m/>
  </r>
  <r>
    <s v="231599/2400019"/>
    <s v="aktsiaselts NETT"/>
    <s v="231599/2400019"/>
    <n v="10400775"/>
    <s v="EE"/>
    <s v="Keskmise suurusega ettevõtja (50-249 töötajat)"/>
    <s v="EE00 Eesti"/>
    <s v="16.2"/>
    <s v=""/>
    <n v="50000"/>
    <n v="125000"/>
    <s v="Rahaline toetus"/>
    <x v="101"/>
    <n v="2024"/>
    <s v="Komisjoni teatise jaotis 2.1 &quot;Piiratud abisummad&quot;  "/>
    <s v="https://www.riigiteataja.ee/akt/101062023004"/>
    <s v="Ettevõtluse ja Innovatsiooni Sihtasutus"/>
    <s v="SA.110542"/>
    <s v="231599"/>
    <m/>
    <m/>
  </r>
  <r>
    <s v="231599/2400020"/>
    <s v="AQ Lasertool OÜ"/>
    <s v="231599/2400020"/>
    <n v="10930852"/>
    <s v="EE"/>
    <s v="Suurettevõtja (250 ja üle töötajat)"/>
    <s v="EE00 Eesti"/>
    <s v="25.5"/>
    <s v=""/>
    <n v="121500"/>
    <n v="405000"/>
    <s v="Rahaline toetus"/>
    <x v="101"/>
    <n v="2024"/>
    <s v="Komisjoni teatise jaotis 2.1 &quot;Piiratud abisummad&quot;  "/>
    <s v="https://www.riigiteataja.ee/akt/101062023004"/>
    <s v="Ettevõtluse ja Innovatsiooni Sihtasutus"/>
    <s v="SA.110542"/>
    <s v="231599"/>
    <m/>
    <m/>
  </r>
  <r>
    <s v="231599/2400017"/>
    <s v="OÜ Sapronen"/>
    <s v="231599/2400017"/>
    <n v="10664066"/>
    <s v="EE"/>
    <s v="Väikese suurusega ettevõtja (10-49 töötajat)"/>
    <s v="EE00 Eesti"/>
    <s v="16.2"/>
    <s v=""/>
    <n v="46500"/>
    <n v="93000"/>
    <s v="Rahaline toetus"/>
    <x v="102"/>
    <n v="2024"/>
    <s v="Komisjoni teatise jaotis 2.1 &quot;Piiratud abisummad&quot;  "/>
    <s v="https://www.riigiteataja.ee/akt/101062023004"/>
    <s v="Ettevõtluse ja Innovatsiooni Sihtasutus"/>
    <s v="SA.110542"/>
    <s v="231599"/>
    <m/>
    <m/>
  </r>
  <r>
    <s v="231599/2400018"/>
    <s v="aktsiaselts FÖRMANN NT"/>
    <s v="231599/2400018"/>
    <n v="10086633"/>
    <s v="EE"/>
    <s v="Väikese suurusega ettevõtja (10-49 töötajat)"/>
    <s v="EE00 Eesti"/>
    <s v="16.1"/>
    <s v=""/>
    <n v="40340.78"/>
    <n v="80681.55"/>
    <s v="Rahaline toetus"/>
    <x v="102"/>
    <n v="2024"/>
    <s v="Komisjoni teatise jaotis 2.1 &quot;Piiratud abisummad&quot;  "/>
    <s v="https://www.riigiteataja.ee/akt/101062023004"/>
    <s v="Ettevõtluse ja Innovatsiooni Sihtasutus"/>
    <s v="SA.110542"/>
    <s v="231599"/>
    <m/>
    <m/>
  </r>
  <r>
    <s v="231599/2400016"/>
    <s v="AS Tartu Graanul"/>
    <s v="231599/2400016"/>
    <n v="12681488"/>
    <s v="EE"/>
    <s v="Suurettevõtja (250 ja üle töötajat)"/>
    <s v="EE00 Eesti"/>
    <s v="16.2"/>
    <s v=""/>
    <n v="500000"/>
    <n v="1666666.67"/>
    <s v="Rahaline toetus"/>
    <x v="70"/>
    <n v="2024"/>
    <s v="Komisjoni teatise jaotis 2.1 &quot;Piiratud abisummad&quot;  "/>
    <s v="https://www.riigiteataja.ee/akt/101062023004"/>
    <s v="Ettevõtluse ja Innovatsiooni Sihtasutus"/>
    <s v="SA.110542"/>
    <s v="231599"/>
    <m/>
    <m/>
  </r>
  <r>
    <s v="231599/2400015"/>
    <s v="osaühing Tarmetec"/>
    <s v="231599/2400015"/>
    <n v="10322549"/>
    <s v="EE"/>
    <s v="Keskmise suurusega ettevõtja (50-249 töötajat)"/>
    <s v="EE00 Eesti"/>
    <s v="32.5"/>
    <s v=""/>
    <n v="140000"/>
    <n v="350000"/>
    <s v="Rahaline toetus"/>
    <x v="103"/>
    <n v="2024"/>
    <s v="Komisjoni teatise jaotis 2.1 &quot;Piiratud abisummad&quot;  "/>
    <s v="https://www.riigiteataja.ee/akt/101062023004"/>
    <s v="Ettevõtluse ja Innovatsiooni Sihtasutus"/>
    <s v="SA.110542"/>
    <s v="231599"/>
    <m/>
    <m/>
  </r>
  <r>
    <s v="231599/2400014"/>
    <s v="Boardic Eesti OÜ"/>
    <s v="231599/2400014"/>
    <n v="10249976"/>
    <s v="EE"/>
    <s v="Suurettevõtja (250 ja üle töötajat)"/>
    <s v="EE00 Eesti"/>
    <s v="16.2"/>
    <s v=""/>
    <n v="13500"/>
    <n v="45000"/>
    <s v="Rahaline toetus"/>
    <x v="104"/>
    <n v="2024"/>
    <s v="Komisjoni teatise jaotis 2.1 &quot;Piiratud abisummad&quot;  "/>
    <s v="https://www.riigiteataja.ee/akt/101062023004"/>
    <s v="Ettevõtluse ja Innovatsiooni Sihtasutus"/>
    <s v="SA.110542"/>
    <s v="231599"/>
    <m/>
    <m/>
  </r>
  <r>
    <s v="231599/2400012"/>
    <s v="OÜ Vara Saeveski"/>
    <s v="231599/2400012"/>
    <n v="10533890"/>
    <s v="EE"/>
    <s v="Keskmise suurusega ettevõtja (50-249 töötajat)"/>
    <s v="EE00 Eesti"/>
    <s v="16.1"/>
    <s v=""/>
    <n v="500000"/>
    <n v="1250000"/>
    <s v="Rahaline toetus"/>
    <x v="105"/>
    <n v="2024"/>
    <s v="Komisjoni teatise jaotis 2.1 &quot;Piiratud abisummad&quot;  "/>
    <s v="https://www.riigiteataja.ee/akt/101062023004"/>
    <s v="Ettevõtluse ja Innovatsiooni Sihtasutus"/>
    <s v="SA.110542"/>
    <s v="231599"/>
    <m/>
    <m/>
  </r>
  <r>
    <s v="231599/2400013"/>
    <s v="OÜ Via 3L"/>
    <s v="231599/2400013"/>
    <n v="10731489"/>
    <s v="EE"/>
    <s v="Suurettevõtja (250 ja üle töötajat)"/>
    <s v="EE00 Eesti"/>
    <s v="52.1"/>
    <s v=""/>
    <n v="177000"/>
    <n v="885000"/>
    <s v="Rahaline toetus"/>
    <x v="105"/>
    <n v="2024"/>
    <s v="Komisjoni teatise jaotis 2.1 &quot;Piiratud abisummad&quot;  "/>
    <s v="https://www.riigiteataja.ee/akt/101062023004"/>
    <s v="Ettevõtluse ja Innovatsiooni Sihtasutus"/>
    <s v="SA.110542"/>
    <s v="231599"/>
    <m/>
    <m/>
  </r>
  <r>
    <s v="231599/2400011"/>
    <s v="Aktsiaselts Mistra-Autex"/>
    <s v="231599/2400011"/>
    <n v="10060658"/>
    <s v="EE"/>
    <s v="Keskmise suurusega ettevõtja (50-249 töötajat)"/>
    <s v="EE00 Eesti"/>
    <s v="13.9"/>
    <s v=""/>
    <n v="72651"/>
    <n v="242170"/>
    <s v="Rahaline toetus"/>
    <x v="106"/>
    <n v="2024"/>
    <s v="Komisjoni teatise jaotis 2.1 &quot;Piiratud abisummad&quot;  "/>
    <s v="https://www.riigiteataja.ee/akt/101062023004"/>
    <s v="Ettevõtluse ja Innovatsiooni Sihtasutus"/>
    <s v="SA.110542"/>
    <s v="231599"/>
    <m/>
    <m/>
  </r>
  <r>
    <s v="231599/2400006"/>
    <s v="Osaühing Puidukoda"/>
    <s v="231599/2400006"/>
    <n v="10207067"/>
    <s v="EE"/>
    <s v="Suurettevõtja (250 ja üle töötajat)"/>
    <s v="EE00 Eesti"/>
    <s v="35.1"/>
    <s v=""/>
    <n v="437597.7"/>
    <n v="1458659"/>
    <s v="Rahaline toetus"/>
    <x v="107"/>
    <n v="2024"/>
    <s v="Komisjoni teatise jaotis 2.1 &quot;Piiratud abisummad&quot;  "/>
    <s v="https://www.riigiteataja.ee/akt/101062023004"/>
    <s v="Ettevõtluse ja Innovatsiooni Sihtasutus"/>
    <s v="SA.110542"/>
    <s v="231599"/>
    <m/>
    <m/>
  </r>
  <r>
    <s v="231599/2400007"/>
    <s v="Combimill Sakala OÜ"/>
    <s v="231599/2400007"/>
    <n v="12216538"/>
    <s v="EE"/>
    <s v="Suurettevõtja (250 ja üle töötajat)"/>
    <s v="EE00 Eesti"/>
    <s v="35.1"/>
    <s v=""/>
    <n v="242954.4"/>
    <n v="809848"/>
    <s v="Rahaline toetus"/>
    <x v="76"/>
    <n v="2024"/>
    <s v="Komisjoni teatise jaotis 2.1 &quot;Piiratud abisummad&quot;  "/>
    <s v="https://www.riigiteataja.ee/akt/101062023004"/>
    <s v="Ettevõtluse ja Innovatsiooni Sihtasutus"/>
    <s v="SA.110542"/>
    <s v="231599"/>
    <m/>
    <m/>
  </r>
  <r>
    <s v="231599/2400005"/>
    <s v="AS Saku Metall Uksetehas"/>
    <s v="231599/2400005"/>
    <n v="12318492"/>
    <s v="EE"/>
    <s v="Suurettevõtja (250 ja üle töötajat)"/>
    <s v="EE00 Eesti"/>
    <s v="25.1"/>
    <s v=""/>
    <n v="0"/>
    <s v=""/>
    <s v="Rahaline toetus"/>
    <x v="77"/>
    <n v="2024"/>
    <s v="Komisjoni teatise jaotis 2.1 &quot;Piiratud abisummad&quot;  "/>
    <s v="https://www.riigiteataja.ee/akt/101062023004"/>
    <s v="Ettevõtluse ja Innovatsiooni Sihtasutus"/>
    <s v="SA.110542"/>
    <s v="231599"/>
    <m/>
    <m/>
  </r>
  <r>
    <s v="231599/2400003"/>
    <s v="OÜ Ebavere Graanul"/>
    <s v="231599/2400003"/>
    <n v="12068782"/>
    <s v="EE"/>
    <s v="Suurettevõtja (250 ja üle töötajat)"/>
    <s v="EE00 Eesti"/>
    <s v="16.2"/>
    <s v=""/>
    <n v="500000"/>
    <n v="1666666.67"/>
    <s v="Rahaline toetus"/>
    <x v="108"/>
    <n v="2024"/>
    <s v="Komisjoni teatise jaotis 2.1 &quot;Piiratud abisummad&quot;  "/>
    <s v="https://www.riigiteataja.ee/akt/101062023004"/>
    <s v="Ettevõtluse ja Innovatsiooni Sihtasutus"/>
    <s v="SA.110542"/>
    <s v="231599"/>
    <m/>
    <m/>
  </r>
  <r>
    <s v="231599/2400004"/>
    <s v="Aktsiaselts Räpina Paberivabrik"/>
    <s v="231599/2400004"/>
    <n v="10149813"/>
    <s v="EE"/>
    <s v="Keskmise suurusega ettevõtja (50-249 töötajat)"/>
    <s v="EE00 Eesti"/>
    <s v="17.2"/>
    <s v=""/>
    <n v="274000"/>
    <n v="685000"/>
    <s v="Rahaline toetus"/>
    <x v="108"/>
    <n v="2024"/>
    <s v="Komisjoni teatise jaotis 2.1 &quot;Piiratud abisummad&quot;  "/>
    <s v="https://www.riigiteataja.ee/akt/101062023004"/>
    <s v="Ettevõtluse ja Innovatsiooni Sihtasutus"/>
    <s v="SA.110542"/>
    <s v="231599"/>
    <m/>
    <m/>
  </r>
  <r>
    <s v="231599/2400008"/>
    <s v="OÜ TEH-AG PARTNER"/>
    <s v="231599/2400008"/>
    <n v="11439130"/>
    <s v="EE"/>
    <s v="Mikroettevõtja (1-9 töötajat)"/>
    <s v="EE00 Eesti"/>
    <s v="10.3"/>
    <s v=""/>
    <n v="5128.5"/>
    <n v="10257"/>
    <s v="Rahaline toetus"/>
    <x v="108"/>
    <n v="2024"/>
    <s v="Komisjoni teatise jaotis 2.1 &quot;Piiratud abisummad&quot;  "/>
    <s v="https://www.riigiteataja.ee/akt/101062023004"/>
    <s v="Ettevõtluse ja Innovatsiooni Sihtasutus"/>
    <s v="SA.110542"/>
    <s v="231599"/>
    <m/>
    <m/>
  </r>
  <r>
    <s v="231599/2400010"/>
    <s v="Osaühing STAKO DILER"/>
    <s v="231599/2400010"/>
    <n v="10160503"/>
    <s v="EE"/>
    <s v="Keskmise suurusega ettevõtja (50-249 töötajat)"/>
    <s v="EE00 Eesti"/>
    <s v="25.1"/>
    <s v=""/>
    <n v="222000"/>
    <n v="555000"/>
    <s v="Rahaline toetus"/>
    <x v="109"/>
    <n v="2024"/>
    <s v="Komisjoni teatise jaotis 2.1 &quot;Piiratud abisummad&quot;  "/>
    <s v="https://www.riigiteataja.ee/akt/101062023004"/>
    <s v="Ettevõtluse ja Innovatsiooni Sihtasutus"/>
    <s v="SA.110542"/>
    <s v="231599"/>
    <m/>
    <m/>
  </r>
  <r>
    <s v="231599/2400002"/>
    <s v="Baltic Workboats AS"/>
    <s v="231599/2400002"/>
    <n v="10657801"/>
    <s v="EE"/>
    <s v="Suurettevõtja (250 ja üle töötajat)"/>
    <s v="EE00 Eesti"/>
    <s v="35.1"/>
    <s v=""/>
    <n v="290326.5"/>
    <n v="967755"/>
    <s v="Rahaline toetus"/>
    <x v="110"/>
    <n v="2024"/>
    <s v="Komisjoni teatise jaotis 2.1 &quot;Piiratud abisummad&quot;  "/>
    <s v="https://www.riigiteataja.ee/akt/101062023004"/>
    <s v="Ettevõtluse ja Innovatsiooni Sihtasutus"/>
    <s v="SA.110542"/>
    <s v="231599"/>
    <m/>
    <m/>
  </r>
  <r>
    <s v="231599/2400001"/>
    <s v="aktsiaselts Pühajärve Puhkekodu"/>
    <s v="231599/2400001"/>
    <n v="10149335"/>
    <s v="EE"/>
    <s v="Suurettevõtja (250 ja üle töötajat)"/>
    <s v="EE00 Eesti"/>
    <s v="55.1"/>
    <s v=""/>
    <n v="148667.46"/>
    <n v="495558.2"/>
    <s v="Rahaline toetus"/>
    <x v="111"/>
    <n v="2024"/>
    <s v="Komisjoni teatise jaotis 2.1 &quot;Piiratud abisummad&quot;  "/>
    <s v="https://www.riigiteataja.ee/akt/101062023004"/>
    <s v="Ettevõtluse ja Innovatsiooni Sihtasutus"/>
    <s v="SA.110542"/>
    <s v="231599"/>
    <m/>
    <m/>
  </r>
  <r>
    <s v="231599/2400009"/>
    <s v="E-Betoonelement OÜ"/>
    <s v="231599/2400009"/>
    <n v="10098158"/>
    <s v="EE"/>
    <s v="Suurettevõtja (250 ja üle töötajat)"/>
    <s v="EE00 Eesti"/>
    <s v="23.6"/>
    <s v=""/>
    <n v="25000"/>
    <n v="125000"/>
    <s v="Rahaline toetus"/>
    <x v="112"/>
    <n v="2024"/>
    <s v="Komisjoni teatise jaotis 2.1 &quot;Piiratud abisummad&quot;  "/>
    <s v="https://www.riigiteataja.ee/akt/101062023004"/>
    <s v="Ettevõtluse ja Innovatsiooni Sihtasutus"/>
    <s v="SA.110542"/>
    <s v="231599"/>
    <m/>
    <m/>
  </r>
  <r>
    <s v="231574/2300017"/>
    <s v="ETS NORD AS"/>
    <s v="231574/2300017"/>
    <n v="10462380"/>
    <s v="EE"/>
    <s v="Suurettevõtja (250 ja üle töötajat)"/>
    <s v="EE00 Eesti"/>
    <s v="25.9"/>
    <m/>
    <n v="56000"/>
    <n v="280000"/>
    <s v="Rahaline toetus"/>
    <x v="113"/>
    <n v="2023"/>
    <s v="Komisjoni teatise jaotis 2.1 &quot;Piiratud abisummad&quot;  "/>
    <s v="https://www.riigiteataja.ee/akt/101062023004"/>
    <s v="Ettevõtluse ja Innovatsiooni Sihtasutus"/>
    <s v="SA.109165 "/>
    <n v="231574"/>
    <m/>
    <m/>
  </r>
  <r>
    <s v="231574/2300018"/>
    <s v="Oniar OÜ"/>
    <s v="231574/2300018"/>
    <n v="10936116"/>
    <s v="EE"/>
    <s v="Keskmise suurusega ettevõtja (50-249 töötajat)"/>
    <s v="EE00 Eesti"/>
    <s v="28.3"/>
    <m/>
    <n v="336039.2"/>
    <n v="840098"/>
    <s v="Rahaline toetus"/>
    <x v="113"/>
    <n v="2023"/>
    <s v="Komisjoni teatise jaotis 2.1 &quot;Piiratud abisummad&quot;  "/>
    <s v="https://www.riigiteataja.ee/akt/101062023004"/>
    <s v="Ettevõtluse ja Innovatsiooni Sihtasutus"/>
    <s v="SA.109165 "/>
    <n v="231574"/>
    <m/>
    <m/>
  </r>
  <r>
    <s v="231574/2300016"/>
    <s v="Sparker OÜ"/>
    <s v="231574/2300016"/>
    <n v="12788418"/>
    <s v="EE"/>
    <s v="Väikese suurusega ettevõtja (10-49 töötajat)"/>
    <s v="EE00 Eesti"/>
    <s v="25.5"/>
    <m/>
    <n v="190000"/>
    <n v="380000"/>
    <s v="Rahaline toetus"/>
    <x v="114"/>
    <n v="2023"/>
    <s v="Komisjoni teatise jaotis 2.1 &quot;Piiratud abisummad&quot;  "/>
    <s v="https://www.riigiteataja.ee/akt/101062023004"/>
    <s v="Ettevõtluse ja Innovatsiooni Sihtasutus"/>
    <s v="SA.109165 "/>
    <n v="231574"/>
    <m/>
    <m/>
  </r>
  <r>
    <s v="231574/2300015"/>
    <s v="KMG OÜ"/>
    <s v="231574/2300015"/>
    <n v="16196755"/>
    <s v="EE"/>
    <s v="Keskmise suurusega ettevõtja (50-249 töötajat)"/>
    <s v="EE00 Eesti"/>
    <s v="42.1"/>
    <m/>
    <n v="58000"/>
    <n v="145000"/>
    <s v="Rahaline toetus"/>
    <x v="115"/>
    <n v="2023"/>
    <s v="Komisjoni teatise jaotis 2.1 &quot;Piiratud abisummad&quot;  "/>
    <s v="https://www.riigiteataja.ee/akt/101062023004"/>
    <s v="Ettevõtluse ja Innovatsiooni Sihtasutus"/>
    <s v="SA.109165 "/>
    <n v="231574"/>
    <m/>
    <m/>
  </r>
  <r>
    <s v="231574/2300013"/>
    <s v="Osaühing MetEst Metall"/>
    <s v="231574/2300013"/>
    <n v="11203338"/>
    <s v="EE"/>
    <s v="Väikese suurusega ettevõtja (10-49 töötajat)"/>
    <s v="EE00 Eesti"/>
    <s v="25.1"/>
    <m/>
    <n v="112750"/>
    <n v="225500"/>
    <s v="Rahaline toetus"/>
    <x v="116"/>
    <n v="2023"/>
    <s v="Komisjoni teatise jaotis 2.1 &quot;Piiratud abisummad&quot;  "/>
    <s v="https://www.riigiteataja.ee/akt/101062023004"/>
    <s v="Ettevõtluse ja Innovatsiooni Sihtasutus"/>
    <s v="SA.109165 "/>
    <n v="231574"/>
    <m/>
    <m/>
  </r>
  <r>
    <s v="231574/2300014"/>
    <s v="OÜ Cristella VT"/>
    <s v="231574/2300014"/>
    <n v="11707056"/>
    <s v="EE"/>
    <s v="Suurettevõtja (250 ja üle töötajat)"/>
    <s v="EE00 Eesti"/>
    <s v="10.7"/>
    <m/>
    <n v="116700"/>
    <n v="389000"/>
    <s v="Rahaline toetus"/>
    <x v="116"/>
    <n v="2023"/>
    <s v="Komisjoni teatise jaotis 2.1 &quot;Piiratud abisummad&quot;  "/>
    <s v="https://www.riigiteataja.ee/akt/101062023004"/>
    <s v="Ettevõtluse ja Innovatsiooni Sihtasutus"/>
    <s v="SA.109165 "/>
    <n v="231574"/>
    <m/>
    <m/>
  </r>
  <r>
    <s v="231574/2300012"/>
    <s v="Lunden Food OÜ"/>
    <s v="231574/2300012"/>
    <n v="11306570"/>
    <s v="EE"/>
    <s v="Suurettevõtja (250 ja üle töötajat)"/>
    <s v="EE00 Eesti"/>
    <s v="10.8"/>
    <m/>
    <n v="35762.18"/>
    <n v="178810.9"/>
    <s v="Rahaline toetus"/>
    <x v="117"/>
    <n v="2023"/>
    <s v="Komisjoni teatise jaotis 2.1 &quot;Piiratud abisummad&quot;  "/>
    <s v="https://www.riigiteataja.ee/akt/101062023004"/>
    <s v="Ettevõtluse ja Innovatsiooni Sihtasutus"/>
    <s v="SA.109165 "/>
    <n v="231574"/>
    <m/>
    <m/>
  </r>
  <r>
    <s v="231574/2300010"/>
    <s v="OÜ J.Roots Timber"/>
    <s v="231574/2300010"/>
    <n v="10770584"/>
    <s v="EE"/>
    <s v="Keskmise suurusega ettevõtja (50-249 töötajat)"/>
    <s v="EE00 Eesti"/>
    <s v="16.1"/>
    <m/>
    <n v="72800"/>
    <n v="182000"/>
    <s v="Rahaline toetus"/>
    <x v="118"/>
    <n v="2023"/>
    <s v="Komisjoni teatise jaotis 2.1 &quot;Piiratud abisummad&quot;  "/>
    <s v="https://www.riigiteataja.ee/akt/101062023004"/>
    <s v="Ettevõtluse ja Innovatsiooni Sihtasutus"/>
    <s v="SA.109165 "/>
    <n v="231574"/>
    <m/>
    <m/>
  </r>
  <r>
    <s v="231574/2300011"/>
    <s v="OÜ Thermoarena"/>
    <s v="231574/2300011"/>
    <n v="12360784"/>
    <s v="EE"/>
    <s v="Keskmise suurusega ettevõtja (50-249 töötajat)"/>
    <s v="EE00 Eesti"/>
    <s v="16.1"/>
    <m/>
    <n v="59200"/>
    <n v="148000"/>
    <s v="Rahaline toetus"/>
    <x v="118"/>
    <n v="2023"/>
    <s v="Komisjoni teatise jaotis 2.1 &quot;Piiratud abisummad&quot;  "/>
    <s v="https://www.riigiteataja.ee/akt/101062023004"/>
    <s v="Ettevõtluse ja Innovatsiooni Sihtasutus"/>
    <s v="SA.109165 "/>
    <n v="231574"/>
    <m/>
    <m/>
  </r>
  <r>
    <s v="231574/2300008"/>
    <s v="Aktsiaselts Mistra-Autex"/>
    <s v="231574/2300008"/>
    <n v="10060658"/>
    <s v="EE"/>
    <s v="Keskmise suurusega ettevõtja (50-249 töötajat)"/>
    <s v="EE00 Eesti"/>
    <s v="35.1"/>
    <m/>
    <n v="94484.1"/>
    <n v="314947"/>
    <s v="Rahaline toetus"/>
    <x v="85"/>
    <n v="2023"/>
    <s v="Komisjoni teatise jaotis 2.1 &quot;Piiratud abisummad&quot;  "/>
    <s v="https://www.riigiteataja.ee/akt/101062023004"/>
    <s v="Ettevõtluse ja Innovatsiooni Sihtasutus"/>
    <s v="SA.109165 "/>
    <n v="231574"/>
    <m/>
    <m/>
  </r>
  <r>
    <s v="231574/2300009"/>
    <s v="Universal Industries Osaühing"/>
    <s v="231574/2300009"/>
    <n v="10104002"/>
    <s v="EE"/>
    <s v="Keskmise suurusega ettevõtja (50-249 töötajat)"/>
    <s v="EE00 Eesti"/>
    <s v="29.3"/>
    <m/>
    <n v="360000"/>
    <n v="900000"/>
    <s v="Rahaline toetus"/>
    <x v="85"/>
    <n v="2023"/>
    <s v="Komisjoni teatise jaotis 2.1 &quot;Piiratud abisummad&quot;  "/>
    <s v="https://www.riigiteataja.ee/akt/101062023004"/>
    <s v="Ettevõtluse ja Innovatsiooni Sihtasutus"/>
    <s v="SA.109165 "/>
    <n v="231574"/>
    <m/>
    <m/>
  </r>
  <r>
    <s v="231574/2300006"/>
    <s v="OÜ Print Best"/>
    <s v="231574/2300006"/>
    <n v="10842489"/>
    <s v="EE"/>
    <s v="Keskmise suurusega ettevõtja (50-249 töötajat)"/>
    <s v="EE00 Eesti"/>
    <s v="18.1"/>
    <m/>
    <n v="132000"/>
    <n v="330000"/>
    <s v="Rahaline toetus"/>
    <x v="119"/>
    <n v="2023"/>
    <s v="Komisjoni teatise jaotis 2.1 &quot;Piiratud abisummad&quot;  "/>
    <s v="https://www.riigiteataja.ee/akt/101062023004"/>
    <s v="Ettevõtluse ja Innovatsiooni Sihtasutus"/>
    <s v="SA.109165 "/>
    <n v="231574"/>
    <m/>
    <m/>
  </r>
  <r>
    <s v="231574/2300007"/>
    <s v="Tarmeko Spoon OÜ"/>
    <s v="231574/2300007"/>
    <n v="10019070"/>
    <s v="EE"/>
    <s v="Keskmise suurusega ettevõtja (50-249 töötajat)"/>
    <s v="EE00 Eesti"/>
    <s v="16.2"/>
    <m/>
    <n v="84000"/>
    <n v="210000"/>
    <s v="Rahaline toetus"/>
    <x v="119"/>
    <n v="2023"/>
    <s v="Komisjoni teatise jaotis 2.1 &quot;Piiratud abisummad&quot;  "/>
    <s v="https://www.riigiteataja.ee/akt/101062023004"/>
    <s v="Ettevõtluse ja Innovatsiooni Sihtasutus"/>
    <s v="SA.109165 "/>
    <n v="231574"/>
    <m/>
    <m/>
  </r>
  <r>
    <s v="231574/2300005"/>
    <s v="Osaühing TAPA MILL"/>
    <s v="231574/2300005"/>
    <n v="10548087"/>
    <s v="EE"/>
    <s v="Keskmise suurusega ettevõtja (50-249 töötajat)"/>
    <s v="EE00 Eesti"/>
    <s v="16.1"/>
    <m/>
    <n v="128000"/>
    <n v="320000"/>
    <s v="Rahaline toetus"/>
    <x v="120"/>
    <n v="2023"/>
    <s v="Komisjoni teatise jaotis 2.1 &quot;Piiratud abisummad&quot;  "/>
    <s v="https://www.riigiteataja.ee/akt/101062023004"/>
    <s v="Ettevõtluse ja Innovatsiooni Sihtasutus"/>
    <s v="SA.109165 "/>
    <n v="231574"/>
    <m/>
    <m/>
  </r>
  <r>
    <s v="231574/2300003"/>
    <s v="AS Palmako"/>
    <s v="231574/2300003"/>
    <n v="10301984"/>
    <s v="EE"/>
    <s v="Suurettevõtja (250 ja üle töötajat)"/>
    <s v="EE00 Eesti"/>
    <s v="16.2"/>
    <m/>
    <n v="217500"/>
    <n v="725000"/>
    <s v="Rahaline toetus"/>
    <x v="93"/>
    <n v="2023"/>
    <s v="Komisjoni teatise jaotis 2.1 &quot;Piiratud abisummad&quot;  "/>
    <s v="https://www.riigiteataja.ee/akt/101062023004"/>
    <s v="Ettevõtluse ja Innovatsiooni Sihtasutus"/>
    <s v="SA.109165 "/>
    <n v="231574"/>
    <m/>
    <m/>
  </r>
  <r>
    <s v="231574/2300004"/>
    <s v="Ardor OÜ"/>
    <s v="231574/2300004"/>
    <n v="12519842"/>
    <s v="EE"/>
    <s v="Keskmise suurusega ettevõtja (50-249 töötajat)"/>
    <s v="EE00 Eesti"/>
    <s v="16.2"/>
    <m/>
    <n v="500000"/>
    <n v="1250000"/>
    <s v="Rahaline toetus"/>
    <x v="93"/>
    <n v="2023"/>
    <s v="Komisjoni teatise jaotis 2.1 &quot;Piiratud abisummad&quot;  "/>
    <s v="https://www.riigiteataja.ee/akt/101062023004"/>
    <s v="Ettevõtluse ja Innovatsiooni Sihtasutus"/>
    <s v="SA.109165 "/>
    <n v="231574"/>
    <m/>
    <m/>
  </r>
  <r>
    <s v="231574/2300002"/>
    <s v="osaühing PEETRI PUIT"/>
    <s v="231574/2300002"/>
    <n v="10626249"/>
    <s v="EE"/>
    <s v="Keskmise suurusega ettevõtja (50-249 töötajat)"/>
    <s v="EE00 Eesti"/>
    <s v="16.2"/>
    <m/>
    <n v="404427.2"/>
    <n v="1011068"/>
    <s v="Rahaline toetus"/>
    <x v="121"/>
    <n v="2023"/>
    <s v="Komisjoni teatise jaotis 2.1 &quot;Piiratud abisummad&quot;  "/>
    <s v="https://www.riigiteataja.ee/akt/101062023004"/>
    <s v="Ettevõtluse ja Innovatsiooni Sihtasutus"/>
    <s v="SA.109165 "/>
    <n v="231574"/>
    <m/>
    <m/>
  </r>
  <r>
    <s v="231574/2300001"/>
    <s v="Estonian Plywood AS"/>
    <s v="231574/2300001"/>
    <n v="14301076"/>
    <s v="EE"/>
    <s v="Suurettevõtja (250 ja üle töötajat)"/>
    <s v="EE00 Eesti"/>
    <s v="16.1"/>
    <m/>
    <n v="210000"/>
    <n v="700000"/>
    <s v="Rahaline toetus"/>
    <x v="122"/>
    <n v="2023"/>
    <s v="Komisjoni teatise jaotis 2.1 &quot;Piiratud abisummad&quot;  "/>
    <s v="https://www.riigiteataja.ee/akt/101062023004"/>
    <s v="Ettevõtluse ja Innovatsiooni Sihtasutus"/>
    <s v="SA.109165 "/>
    <n v="231574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75039BF-6D5B-4E94-872E-AFE368B7A541}" name="PivotTable5" cacheId="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multipleFieldFilters="0" chartFormat="4">
  <location ref="A3:E17" firstHeaderRow="1" firstDataRow="2" firstDataCol="1"/>
  <pivotFields count="2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3" showAll="0"/>
    <pivotField showAll="0"/>
    <pivotField showAll="0"/>
    <pivotField numFmtId="14" showAll="0">
      <items count="124">
        <item x="97"/>
        <item x="122"/>
        <item x="96"/>
        <item x="95"/>
        <item x="94"/>
        <item x="121"/>
        <item x="93"/>
        <item x="92"/>
        <item x="120"/>
        <item x="91"/>
        <item x="90"/>
        <item x="89"/>
        <item x="119"/>
        <item x="88"/>
        <item x="87"/>
        <item x="86"/>
        <item x="85"/>
        <item x="118"/>
        <item x="84"/>
        <item x="117"/>
        <item x="116"/>
        <item x="115"/>
        <item x="114"/>
        <item x="113"/>
        <item x="83"/>
        <item x="112"/>
        <item x="82"/>
        <item x="111"/>
        <item x="110"/>
        <item x="109"/>
        <item x="81"/>
        <item x="108"/>
        <item x="80"/>
        <item x="79"/>
        <item x="78"/>
        <item x="77"/>
        <item x="76"/>
        <item x="75"/>
        <item x="74"/>
        <item x="107"/>
        <item x="106"/>
        <item x="105"/>
        <item x="73"/>
        <item x="104"/>
        <item x="72"/>
        <item x="103"/>
        <item x="71"/>
        <item x="70"/>
        <item x="69"/>
        <item x="68"/>
        <item x="67"/>
        <item x="102"/>
        <item x="101"/>
        <item x="66"/>
        <item x="100"/>
        <item x="65"/>
        <item x="64"/>
        <item x="63"/>
        <item x="99"/>
        <item x="62"/>
        <item x="61"/>
        <item x="98"/>
        <item x="60"/>
        <item x="59"/>
        <item x="58"/>
        <item x="57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numFmtId="1"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Col" showAll="0">
      <items count="6">
        <item sd="0" x="0"/>
        <item x="1"/>
        <item x="2"/>
        <item x="3"/>
        <item sd="0" x="4"/>
        <item t="default"/>
      </items>
    </pivotField>
  </pivotFields>
  <rowFields count="1">
    <field x="21"/>
  </rowFields>
  <rowItems count="13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23"/>
  </colFields>
  <colItems count="4">
    <i>
      <x v="1"/>
    </i>
    <i>
      <x v="2"/>
    </i>
    <i>
      <x v="3"/>
    </i>
    <i t="grand">
      <x/>
    </i>
  </colItems>
  <dataFields count="1">
    <dataField name="Sum of Antud (otsustatud) abi summa" fld="9" baseField="0" baseItem="0" numFmtId="3"/>
  </dataFields>
  <formats count="28">
    <format dxfId="47">
      <pivotArea type="all" dataOnly="0" outline="0" fieldPosition="0"/>
    </format>
    <format dxfId="46">
      <pivotArea outline="0" collapsedLevelsAreSubtotals="1" fieldPosition="0"/>
    </format>
    <format dxfId="45">
      <pivotArea type="origin" dataOnly="0" labelOnly="1" outline="0" offset="A1:A2" fieldPosition="0"/>
    </format>
    <format dxfId="44">
      <pivotArea dataOnly="0" labelOnly="1" outline="0" axis="axisValues" fieldPosition="0"/>
    </format>
    <format dxfId="43">
      <pivotArea field="23" type="button" dataOnly="0" labelOnly="1" outline="0" axis="axisCol" fieldPosition="0"/>
    </format>
    <format dxfId="42">
      <pivotArea field="21" type="button" dataOnly="0" labelOnly="1" outline="0" axis="axisRow" fieldPosition="0"/>
    </format>
    <format dxfId="41">
      <pivotArea type="topRight" dataOnly="0" labelOnly="1" outline="0" fieldPosition="0"/>
    </format>
    <format dxfId="40">
      <pivotArea type="origin" dataOnly="0" labelOnly="1" outline="0" offset="A3" fieldPosition="0"/>
    </format>
    <format dxfId="39">
      <pivotArea dataOnly="0" labelOnly="1" fieldPosition="0">
        <references count="1">
          <reference field="23" count="3">
            <x v="1"/>
            <x v="2"/>
            <x v="3"/>
          </reference>
        </references>
      </pivotArea>
    </format>
    <format dxfId="38">
      <pivotArea dataOnly="0" labelOnly="1" fieldPosition="0">
        <references count="1">
          <reference field="23" count="3" defaultSubtotal="1">
            <x v="1"/>
            <x v="2"/>
            <x v="3"/>
          </reference>
        </references>
      </pivotArea>
    </format>
    <format dxfId="37">
      <pivotArea dataOnly="0" labelOnly="1" grandCol="1" outline="0" fieldPosition="0"/>
    </format>
    <format dxfId="36">
      <pivotArea dataOnly="0" labelOnly="1" fieldPosition="0">
        <references count="2">
          <reference field="21" count="4">
            <x v="9"/>
            <x v="10"/>
            <x v="11"/>
            <x v="12"/>
          </reference>
          <reference field="23" count="1" selected="0">
            <x v="1"/>
          </reference>
        </references>
      </pivotArea>
    </format>
    <format dxfId="35">
      <pivotArea dataOnly="0" labelOnly="1" fieldPosition="0">
        <references count="2">
          <reference field="21" count="12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  <reference field="23" count="1" selected="0">
            <x v="2"/>
          </reference>
        </references>
      </pivotArea>
    </format>
    <format dxfId="34">
      <pivotArea dataOnly="0" labelOnly="1" fieldPosition="0">
        <references count="2">
          <reference field="21" count="5">
            <x v="1"/>
            <x v="2"/>
            <x v="3"/>
            <x v="4"/>
            <x v="5"/>
          </reference>
          <reference field="23" count="1" selected="0">
            <x v="3"/>
          </reference>
        </references>
      </pivotArea>
    </format>
    <format dxfId="33">
      <pivotArea outline="0" collapsedLevelsAreSubtotals="1" fieldPosition="0">
        <references count="2">
          <reference field="21" count="3" selected="0">
            <x v="10"/>
            <x v="11"/>
            <x v="12"/>
          </reference>
          <reference field="23" count="1" selected="0">
            <x v="1"/>
          </reference>
        </references>
      </pivotArea>
    </format>
    <format dxfId="32">
      <pivotArea field="21" type="button" dataOnly="0" labelOnly="1" outline="0" axis="axisRow" fieldPosition="0"/>
    </format>
    <format dxfId="31">
      <pivotArea type="topRight" dataOnly="0" labelOnly="1" outline="0" fieldPosition="0"/>
    </format>
    <format dxfId="30">
      <pivotArea collapsedLevelsAreSubtotals="1" fieldPosition="0">
        <references count="2">
          <reference field="21" count="6">
            <x v="7"/>
            <x v="8"/>
            <x v="9"/>
            <x v="10"/>
            <x v="11"/>
            <x v="12"/>
          </reference>
          <reference field="23" count="1" selected="0">
            <x v="1"/>
          </reference>
        </references>
      </pivotArea>
    </format>
    <format dxfId="29">
      <pivotArea type="all" dataOnly="0" outline="0" fieldPosition="0"/>
    </format>
    <format dxfId="28">
      <pivotArea outline="0" collapsedLevelsAreSubtotals="1" fieldPosition="0"/>
    </format>
    <format dxfId="27">
      <pivotArea type="origin" dataOnly="0" labelOnly="1" outline="0" fieldPosition="0"/>
    </format>
    <format dxfId="26">
      <pivotArea field="23" type="button" dataOnly="0" labelOnly="1" outline="0" axis="axisCol" fieldPosition="0"/>
    </format>
    <format dxfId="25">
      <pivotArea type="topRight" dataOnly="0" labelOnly="1" outline="0" fieldPosition="0"/>
    </format>
    <format dxfId="24">
      <pivotArea field="21" type="button" dataOnly="0" labelOnly="1" outline="0" axis="axisRow" fieldPosition="0"/>
    </format>
    <format dxfId="23">
      <pivotArea dataOnly="0" labelOnly="1" fieldPosition="0">
        <references count="1">
          <reference field="21" count="12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22">
      <pivotArea dataOnly="0" labelOnly="1" grandRow="1" outline="0" fieldPosition="0"/>
    </format>
    <format dxfId="21">
      <pivotArea dataOnly="0" labelOnly="1" fieldPosition="0">
        <references count="1">
          <reference field="23" count="3">
            <x v="1"/>
            <x v="2"/>
            <x v="3"/>
          </reference>
        </references>
      </pivotArea>
    </format>
    <format dxfId="20">
      <pivotArea dataOnly="0" labelOnly="1" grandCol="1" outline="0" fieldPosition="0"/>
    </format>
  </formats>
  <chartFormats count="36">
    <chartFormat chart="2" format="0" series="1">
      <pivotArea type="data" outline="0" fieldPosition="0">
        <references count="3">
          <reference field="4294967294" count="1" selected="0">
            <x v="0"/>
          </reference>
          <reference field="21" count="1" selected="0">
            <x v="9"/>
          </reference>
          <reference field="23" count="1" selected="0">
            <x v="1"/>
          </reference>
        </references>
      </pivotArea>
    </chartFormat>
    <chartFormat chart="2" format="1" series="1">
      <pivotArea type="data" outline="0" fieldPosition="0">
        <references count="3">
          <reference field="4294967294" count="1" selected="0">
            <x v="0"/>
          </reference>
          <reference field="21" count="1" selected="0">
            <x v="10"/>
          </reference>
          <reference field="23" count="1" selected="0">
            <x v="1"/>
          </reference>
        </references>
      </pivotArea>
    </chartFormat>
    <chartFormat chart="2" format="2" series="1">
      <pivotArea type="data" outline="0" fieldPosition="0">
        <references count="3">
          <reference field="4294967294" count="1" selected="0">
            <x v="0"/>
          </reference>
          <reference field="21" count="1" selected="0">
            <x v="11"/>
          </reference>
          <reference field="23" count="1" selected="0">
            <x v="1"/>
          </reference>
        </references>
      </pivotArea>
    </chartFormat>
    <chartFormat chart="2" format="3" series="1">
      <pivotArea type="data" outline="0" fieldPosition="0">
        <references count="3">
          <reference field="4294967294" count="1" selected="0">
            <x v="0"/>
          </reference>
          <reference field="21" count="1" selected="0">
            <x v="12"/>
          </reference>
          <reference field="23" count="1" selected="0">
            <x v="1"/>
          </reference>
        </references>
      </pivotArea>
    </chartFormat>
    <chartFormat chart="2" format="4" series="1">
      <pivotArea type="data" outline="0" fieldPosition="0">
        <references count="3">
          <reference field="4294967294" count="1" selected="0">
            <x v="0"/>
          </reference>
          <reference field="21" count="1" selected="0">
            <x v="1"/>
          </reference>
          <reference field="23" count="1" selected="0">
            <x v="2"/>
          </reference>
        </references>
      </pivotArea>
    </chartFormat>
    <chartFormat chart="2" format="5" series="1">
      <pivotArea type="data" outline="0" fieldPosition="0">
        <references count="3">
          <reference field="4294967294" count="1" selected="0">
            <x v="0"/>
          </reference>
          <reference field="21" count="1" selected="0">
            <x v="2"/>
          </reference>
          <reference field="23" count="1" selected="0">
            <x v="2"/>
          </reference>
        </references>
      </pivotArea>
    </chartFormat>
    <chartFormat chart="2" format="6" series="1">
      <pivotArea type="data" outline="0" fieldPosition="0">
        <references count="3">
          <reference field="4294967294" count="1" selected="0">
            <x v="0"/>
          </reference>
          <reference field="21" count="1" selected="0">
            <x v="3"/>
          </reference>
          <reference field="23" count="1" selected="0">
            <x v="2"/>
          </reference>
        </references>
      </pivotArea>
    </chartFormat>
    <chartFormat chart="2" format="7" series="1">
      <pivotArea type="data" outline="0" fieldPosition="0">
        <references count="3">
          <reference field="4294967294" count="1" selected="0">
            <x v="0"/>
          </reference>
          <reference field="21" count="1" selected="0">
            <x v="4"/>
          </reference>
          <reference field="23" count="1" selected="0">
            <x v="2"/>
          </reference>
        </references>
      </pivotArea>
    </chartFormat>
    <chartFormat chart="2" format="8" series="1">
      <pivotArea type="data" outline="0" fieldPosition="0">
        <references count="3">
          <reference field="4294967294" count="1" selected="0">
            <x v="0"/>
          </reference>
          <reference field="21" count="1" selected="0">
            <x v="5"/>
          </reference>
          <reference field="23" count="1" selected="0">
            <x v="2"/>
          </reference>
        </references>
      </pivotArea>
    </chartFormat>
    <chartFormat chart="2" format="9" series="1">
      <pivotArea type="data" outline="0" fieldPosition="0">
        <references count="3">
          <reference field="4294967294" count="1" selected="0">
            <x v="0"/>
          </reference>
          <reference field="21" count="1" selected="0">
            <x v="6"/>
          </reference>
          <reference field="23" count="1" selected="0">
            <x v="2"/>
          </reference>
        </references>
      </pivotArea>
    </chartFormat>
    <chartFormat chart="2" format="10" series="1">
      <pivotArea type="data" outline="0" fieldPosition="0">
        <references count="3">
          <reference field="4294967294" count="1" selected="0">
            <x v="0"/>
          </reference>
          <reference field="21" count="1" selected="0">
            <x v="7"/>
          </reference>
          <reference field="23" count="1" selected="0">
            <x v="2"/>
          </reference>
        </references>
      </pivotArea>
    </chartFormat>
    <chartFormat chart="2" format="11" series="1">
      <pivotArea type="data" outline="0" fieldPosition="0">
        <references count="3">
          <reference field="4294967294" count="1" selected="0">
            <x v="0"/>
          </reference>
          <reference field="21" count="1" selected="0">
            <x v="8"/>
          </reference>
          <reference field="23" count="1" selected="0">
            <x v="2"/>
          </reference>
        </references>
      </pivotArea>
    </chartFormat>
    <chartFormat chart="2" format="12" series="1">
      <pivotArea type="data" outline="0" fieldPosition="0">
        <references count="3">
          <reference field="4294967294" count="1" selected="0">
            <x v="0"/>
          </reference>
          <reference field="21" count="1" selected="0">
            <x v="9"/>
          </reference>
          <reference field="23" count="1" selected="0">
            <x v="2"/>
          </reference>
        </references>
      </pivotArea>
    </chartFormat>
    <chartFormat chart="2" format="13" series="1">
      <pivotArea type="data" outline="0" fieldPosition="0">
        <references count="3">
          <reference field="4294967294" count="1" selected="0">
            <x v="0"/>
          </reference>
          <reference field="21" count="1" selected="0">
            <x v="10"/>
          </reference>
          <reference field="23" count="1" selected="0">
            <x v="2"/>
          </reference>
        </references>
      </pivotArea>
    </chartFormat>
    <chartFormat chart="2" format="14" series="1">
      <pivotArea type="data" outline="0" fieldPosition="0">
        <references count="3">
          <reference field="4294967294" count="1" selected="0">
            <x v="0"/>
          </reference>
          <reference field="21" count="1" selected="0">
            <x v="11"/>
          </reference>
          <reference field="23" count="1" selected="0">
            <x v="2"/>
          </reference>
        </references>
      </pivotArea>
    </chartFormat>
    <chartFormat chart="2" format="15" series="1">
      <pivotArea type="data" outline="0" fieldPosition="0">
        <references count="3">
          <reference field="4294967294" count="1" selected="0">
            <x v="0"/>
          </reference>
          <reference field="21" count="1" selected="0">
            <x v="12"/>
          </reference>
          <reference field="23" count="1" selected="0">
            <x v="2"/>
          </reference>
        </references>
      </pivotArea>
    </chartFormat>
    <chartFormat chart="2" format="16" series="1">
      <pivotArea type="data" outline="0" fieldPosition="0">
        <references count="3">
          <reference field="4294967294" count="1" selected="0">
            <x v="0"/>
          </reference>
          <reference field="21" count="1" selected="0">
            <x v="1"/>
          </reference>
          <reference field="23" count="1" selected="0">
            <x v="3"/>
          </reference>
        </references>
      </pivotArea>
    </chartFormat>
    <chartFormat chart="2" format="17" series="1">
      <pivotArea type="data" outline="0" fieldPosition="0">
        <references count="3">
          <reference field="4294967294" count="1" selected="0">
            <x v="0"/>
          </reference>
          <reference field="21" count="1" selected="0">
            <x v="2"/>
          </reference>
          <reference field="23" count="1" selected="0">
            <x v="3"/>
          </reference>
        </references>
      </pivotArea>
    </chartFormat>
    <chartFormat chart="2" format="18" series="1">
      <pivotArea type="data" outline="0" fieldPosition="0">
        <references count="3">
          <reference field="4294967294" count="1" selected="0">
            <x v="0"/>
          </reference>
          <reference field="21" count="1" selected="0">
            <x v="3"/>
          </reference>
          <reference field="23" count="1" selected="0">
            <x v="3"/>
          </reference>
        </references>
      </pivotArea>
    </chartFormat>
    <chartFormat chart="2" format="19" series="1">
      <pivotArea type="data" outline="0" fieldPosition="0">
        <references count="3">
          <reference field="4294967294" count="1" selected="0">
            <x v="0"/>
          </reference>
          <reference field="21" count="1" selected="0">
            <x v="4"/>
          </reference>
          <reference field="23" count="1" selected="0">
            <x v="3"/>
          </reference>
        </references>
      </pivotArea>
    </chartFormat>
    <chartFormat chart="2" format="20" series="1">
      <pivotArea type="data" outline="0" fieldPosition="0">
        <references count="3">
          <reference field="4294967294" count="1" selected="0">
            <x v="0"/>
          </reference>
          <reference field="21" count="1" selected="0">
            <x v="5"/>
          </reference>
          <reference field="23" count="1" selected="0">
            <x v="3"/>
          </reference>
        </references>
      </pivotArea>
    </chartFormat>
    <chartFormat chart="2" format="21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1"/>
          </reference>
        </references>
      </pivotArea>
    </chartFormat>
    <chartFormat chart="2" format="22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2"/>
          </reference>
        </references>
      </pivotArea>
    </chartFormat>
    <chartFormat chart="2" format="23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3"/>
          </reference>
        </references>
      </pivotArea>
    </chartFormat>
    <chartFormat chart="2" format="24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4"/>
          </reference>
        </references>
      </pivotArea>
    </chartFormat>
    <chartFormat chart="2" format="25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5"/>
          </reference>
        </references>
      </pivotArea>
    </chartFormat>
    <chartFormat chart="2" format="26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6"/>
          </reference>
        </references>
      </pivotArea>
    </chartFormat>
    <chartFormat chart="2" format="27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7"/>
          </reference>
        </references>
      </pivotArea>
    </chartFormat>
    <chartFormat chart="2" format="28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8"/>
          </reference>
        </references>
      </pivotArea>
    </chartFormat>
    <chartFormat chart="2" format="29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9"/>
          </reference>
        </references>
      </pivotArea>
    </chartFormat>
    <chartFormat chart="2" format="30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10"/>
          </reference>
        </references>
      </pivotArea>
    </chartFormat>
    <chartFormat chart="2" format="31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11"/>
          </reference>
        </references>
      </pivotArea>
    </chartFormat>
    <chartFormat chart="2" format="32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12"/>
          </reference>
        </references>
      </pivotArea>
    </chartFormat>
    <chartFormat chart="2" format="33" series="1">
      <pivotArea type="data" outline="0" fieldPosition="0">
        <references count="2">
          <reference field="4294967294" count="1" selected="0">
            <x v="0"/>
          </reference>
          <reference field="23" count="1" selected="0">
            <x v="1"/>
          </reference>
        </references>
      </pivotArea>
    </chartFormat>
    <chartFormat chart="2" format="34" series="1">
      <pivotArea type="data" outline="0" fieldPosition="0">
        <references count="2">
          <reference field="4294967294" count="1" selected="0">
            <x v="0"/>
          </reference>
          <reference field="23" count="1" selected="0">
            <x v="2"/>
          </reference>
        </references>
      </pivotArea>
    </chartFormat>
    <chartFormat chart="2" format="35" series="1">
      <pivotArea type="data" outline="0" fieldPosition="0">
        <references count="2">
          <reference field="4294967294" count="1" selected="0">
            <x v="0"/>
          </reference>
          <reference field="23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C524777-252B-49F5-921D-25313B665C8C}" name="PivotTable6" cacheId="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multipleFieldFilters="0" chartFormat="5">
  <location ref="A3:E17" firstHeaderRow="1" firstDataRow="2" firstDataCol="1"/>
  <pivotFields count="2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3" showAll="0"/>
    <pivotField showAll="0"/>
    <pivotField showAll="0"/>
    <pivotField numFmtId="14" showAll="0">
      <items count="124">
        <item x="97"/>
        <item x="122"/>
        <item x="96"/>
        <item x="95"/>
        <item x="94"/>
        <item x="121"/>
        <item x="93"/>
        <item x="92"/>
        <item x="120"/>
        <item x="91"/>
        <item x="90"/>
        <item x="89"/>
        <item x="119"/>
        <item x="88"/>
        <item x="87"/>
        <item x="86"/>
        <item x="85"/>
        <item x="118"/>
        <item x="84"/>
        <item x="117"/>
        <item x="116"/>
        <item x="115"/>
        <item x="114"/>
        <item x="113"/>
        <item x="83"/>
        <item x="112"/>
        <item x="82"/>
        <item x="111"/>
        <item x="110"/>
        <item x="109"/>
        <item x="81"/>
        <item x="108"/>
        <item x="80"/>
        <item x="79"/>
        <item x="78"/>
        <item x="77"/>
        <item x="76"/>
        <item x="75"/>
        <item x="74"/>
        <item x="107"/>
        <item x="106"/>
        <item x="105"/>
        <item x="73"/>
        <item x="104"/>
        <item x="72"/>
        <item x="103"/>
        <item x="71"/>
        <item x="70"/>
        <item x="69"/>
        <item x="68"/>
        <item x="67"/>
        <item x="102"/>
        <item x="101"/>
        <item x="66"/>
        <item x="100"/>
        <item x="65"/>
        <item x="64"/>
        <item x="63"/>
        <item x="99"/>
        <item x="62"/>
        <item x="61"/>
        <item x="98"/>
        <item x="60"/>
        <item x="59"/>
        <item x="58"/>
        <item x="57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numFmtId="1"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Col" showAll="0">
      <items count="6">
        <item sd="0" x="0"/>
        <item x="1"/>
        <item x="2"/>
        <item x="3"/>
        <item sd="0" x="4"/>
        <item t="default"/>
      </items>
    </pivotField>
  </pivotFields>
  <rowFields count="1">
    <field x="21"/>
  </rowFields>
  <rowItems count="13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23"/>
  </colFields>
  <colItems count="4">
    <i>
      <x v="1"/>
    </i>
    <i>
      <x v="2"/>
    </i>
    <i>
      <x v="3"/>
    </i>
    <i t="grand">
      <x/>
    </i>
  </colItems>
  <dataFields count="1">
    <dataField name="Average of Antud (otsustatud) abi summa" fld="9" subtotal="average" baseField="23" baseItem="1" numFmtId="3"/>
  </dataFields>
  <formats count="10">
    <format dxfId="19">
      <pivotArea type="all" dataOnly="0" outline="0" fieldPosition="0"/>
    </format>
    <format dxfId="18">
      <pivotArea outline="0" collapsedLevelsAreSubtotals="1" fieldPosition="0"/>
    </format>
    <format dxfId="17">
      <pivotArea type="origin" dataOnly="0" labelOnly="1" outline="0" fieldPosition="0"/>
    </format>
    <format dxfId="16">
      <pivotArea field="23" type="button" dataOnly="0" labelOnly="1" outline="0" axis="axisCol" fieldPosition="0"/>
    </format>
    <format dxfId="15">
      <pivotArea type="topRight" dataOnly="0" labelOnly="1" outline="0" fieldPosition="0"/>
    </format>
    <format dxfId="14">
      <pivotArea field="21" type="button" dataOnly="0" labelOnly="1" outline="0" axis="axisRow" fieldPosition="0"/>
    </format>
    <format dxfId="13">
      <pivotArea dataOnly="0" labelOnly="1" fieldPosition="0">
        <references count="1">
          <reference field="21" count="12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12">
      <pivotArea dataOnly="0" labelOnly="1" grandRow="1" outline="0" fieldPosition="0"/>
    </format>
    <format dxfId="11">
      <pivotArea dataOnly="0" labelOnly="1" fieldPosition="0">
        <references count="1">
          <reference field="23" count="3">
            <x v="1"/>
            <x v="2"/>
            <x v="3"/>
          </reference>
        </references>
      </pivotArea>
    </format>
    <format dxfId="10">
      <pivotArea dataOnly="0" labelOnly="1" grandCol="1" outline="0" fieldPosition="0"/>
    </format>
  </formats>
  <chartFormats count="15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1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2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3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4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5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6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7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8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9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10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11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12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23" count="1" selected="0">
            <x v="1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23" count="1" selected="0">
            <x v="2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23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63010CC-ECD5-4F4A-960E-0774ED36FE83}" name="PivotTable7" cacheId="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multipleFieldFilters="0" chartFormat="2">
  <location ref="A3:E17" firstHeaderRow="1" firstDataRow="2" firstDataCol="1"/>
  <pivotFields count="2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3" showAll="0"/>
    <pivotField showAll="0"/>
    <pivotField showAll="0"/>
    <pivotField numFmtId="14" showAll="0">
      <items count="124">
        <item x="97"/>
        <item x="122"/>
        <item x="96"/>
        <item x="95"/>
        <item x="94"/>
        <item x="121"/>
        <item x="93"/>
        <item x="92"/>
        <item x="120"/>
        <item x="91"/>
        <item x="90"/>
        <item x="89"/>
        <item x="119"/>
        <item x="88"/>
        <item x="87"/>
        <item x="86"/>
        <item x="85"/>
        <item x="118"/>
        <item x="84"/>
        <item x="117"/>
        <item x="116"/>
        <item x="115"/>
        <item x="114"/>
        <item x="113"/>
        <item x="83"/>
        <item x="112"/>
        <item x="82"/>
        <item x="111"/>
        <item x="110"/>
        <item x="109"/>
        <item x="81"/>
        <item x="108"/>
        <item x="80"/>
        <item x="79"/>
        <item x="78"/>
        <item x="77"/>
        <item x="76"/>
        <item x="75"/>
        <item x="74"/>
        <item x="107"/>
        <item x="106"/>
        <item x="105"/>
        <item x="73"/>
        <item x="104"/>
        <item x="72"/>
        <item x="103"/>
        <item x="71"/>
        <item x="70"/>
        <item x="69"/>
        <item x="68"/>
        <item x="67"/>
        <item x="102"/>
        <item x="101"/>
        <item x="66"/>
        <item x="100"/>
        <item x="65"/>
        <item x="64"/>
        <item x="63"/>
        <item x="99"/>
        <item x="62"/>
        <item x="61"/>
        <item x="98"/>
        <item x="60"/>
        <item x="59"/>
        <item x="58"/>
        <item x="57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numFmtId="1"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Col" showAll="0">
      <items count="6">
        <item sd="0" x="0"/>
        <item sd="0" x="1"/>
        <item sd="0" x="2"/>
        <item sd="0" x="3"/>
        <item sd="0" x="4"/>
        <item t="default"/>
      </items>
    </pivotField>
  </pivotFields>
  <rowFields count="1">
    <field x="21"/>
  </rowFields>
  <rowItems count="13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23"/>
  </colFields>
  <colItems count="4">
    <i>
      <x v="1"/>
    </i>
    <i>
      <x v="2"/>
    </i>
    <i>
      <x v="3"/>
    </i>
    <i t="grand">
      <x/>
    </i>
  </colItems>
  <dataFields count="1">
    <dataField name="Count of Antud (otsustatud) abi summa" fld="9" subtotal="count" baseField="23" baseItem="1"/>
  </dataFields>
  <formats count="10">
    <format dxfId="9">
      <pivotArea type="all" dataOnly="0" outline="0" fieldPosition="0"/>
    </format>
    <format dxfId="8">
      <pivotArea outline="0" collapsedLevelsAreSubtotals="1" fieldPosition="0"/>
    </format>
    <format dxfId="7">
      <pivotArea type="origin" dataOnly="0" labelOnly="1" outline="0" fieldPosition="0"/>
    </format>
    <format dxfId="6">
      <pivotArea field="23" type="button" dataOnly="0" labelOnly="1" outline="0" axis="axisCol" fieldPosition="0"/>
    </format>
    <format dxfId="5">
      <pivotArea type="topRight" dataOnly="0" labelOnly="1" outline="0" fieldPosition="0"/>
    </format>
    <format dxfId="4">
      <pivotArea field="21" type="button" dataOnly="0" labelOnly="1" outline="0" axis="axisRow" fieldPosition="0"/>
    </format>
    <format dxfId="3">
      <pivotArea dataOnly="0" labelOnly="1" fieldPosition="0">
        <references count="1">
          <reference field="21" count="12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2">
      <pivotArea dataOnly="0" labelOnly="1" grandRow="1" outline="0" fieldPosition="0"/>
    </format>
    <format dxfId="1">
      <pivotArea dataOnly="0" labelOnly="1" fieldPosition="0">
        <references count="1">
          <reference field="23" count="3">
            <x v="1"/>
            <x v="2"/>
            <x v="3"/>
          </reference>
        </references>
      </pivotArea>
    </format>
    <format dxfId="0">
      <pivotArea dataOnly="0" labelOnly="1" grandCol="1" outline="0" fieldPosition="0"/>
    </format>
  </formats>
  <chartFormats count="15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1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2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3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4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5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6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7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8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9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10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11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21" count="1" selected="0">
            <x v="12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23" count="1" selected="0">
            <x v="1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23" count="1" selected="0">
            <x v="2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23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2AE3C-4B10-4B6A-A872-73FE54EA42A9}">
  <dimension ref="A2:I24"/>
  <sheetViews>
    <sheetView tabSelected="1" workbookViewId="0">
      <selection activeCell="A23" sqref="A23"/>
    </sheetView>
  </sheetViews>
  <sheetFormatPr defaultColWidth="8.81640625" defaultRowHeight="14.5" x14ac:dyDescent="0.35"/>
  <cols>
    <col min="1" max="1" width="46.36328125" style="41" customWidth="1"/>
    <col min="2" max="2" width="12.36328125" style="41" bestFit="1" customWidth="1"/>
    <col min="3" max="3" width="9.54296875" style="41" bestFit="1" customWidth="1"/>
    <col min="4" max="4" width="9.54296875" style="41" customWidth="1"/>
    <col min="5" max="5" width="47.7265625" style="41" customWidth="1"/>
    <col min="6" max="6" width="17.54296875" style="41" customWidth="1"/>
    <col min="7" max="7" width="8.81640625" style="41" bestFit="1"/>
    <col min="8" max="8" width="44.81640625" style="41" customWidth="1"/>
    <col min="9" max="9" width="14.6328125" style="41" customWidth="1"/>
    <col min="10" max="16384" width="8.81640625" style="41"/>
  </cols>
  <sheetData>
    <row r="2" spans="1:9" x14ac:dyDescent="0.35">
      <c r="A2" s="64" t="s">
        <v>682</v>
      </c>
      <c r="B2" s="66" t="s">
        <v>677</v>
      </c>
      <c r="C2" s="66" t="s">
        <v>676</v>
      </c>
      <c r="D2" s="66"/>
      <c r="E2" s="101"/>
      <c r="F2" s="66"/>
    </row>
    <row r="3" spans="1:9" x14ac:dyDescent="0.35">
      <c r="A3" s="41" t="s">
        <v>685</v>
      </c>
      <c r="B3" s="41">
        <f>SUM('RTK andmebaas'!J:J)</f>
        <v>15731055.149999999</v>
      </c>
      <c r="C3" s="41">
        <f>AVERAGE('RTK andmebaas'!J:J)</f>
        <v>88876.017796610162</v>
      </c>
    </row>
    <row r="4" spans="1:9" x14ac:dyDescent="0.35">
      <c r="A4" s="41" t="s">
        <v>686</v>
      </c>
      <c r="B4" s="41">
        <f>SUM('RTK andmebaas'!K:K)</f>
        <v>38408236.060000002</v>
      </c>
      <c r="C4" s="41">
        <f>AVERAGE('RTK andmebaas'!K:K)</f>
        <v>227267.66899408287</v>
      </c>
      <c r="G4" s="46"/>
    </row>
    <row r="5" spans="1:9" x14ac:dyDescent="0.35">
      <c r="A5" s="41" t="s">
        <v>687</v>
      </c>
      <c r="B5" s="46">
        <f>SUMIF('RTK andmebaas'!$K$2:$K$183,"&gt;0",'RTK andmebaas'!$J$2:$J$183)/SUM('RTK andmebaas'!$K$2:$K$183)</f>
        <v>0.38992998472005336</v>
      </c>
      <c r="G5" s="46"/>
    </row>
    <row r="6" spans="1:9" x14ac:dyDescent="0.35">
      <c r="A6" s="41" t="s">
        <v>688</v>
      </c>
      <c r="B6" s="41">
        <f>COUNT('RTK andmebaas'!J:J)</f>
        <v>177</v>
      </c>
    </row>
    <row r="8" spans="1:9" x14ac:dyDescent="0.35">
      <c r="A8" s="64" t="s">
        <v>746</v>
      </c>
      <c r="B8" s="63"/>
      <c r="C8" s="63"/>
      <c r="D8" s="63"/>
      <c r="E8" s="64" t="s">
        <v>736</v>
      </c>
      <c r="F8" s="63"/>
      <c r="H8" s="64" t="s">
        <v>744</v>
      </c>
      <c r="I8" s="63"/>
    </row>
    <row r="9" spans="1:9" x14ac:dyDescent="0.35">
      <c r="A9" s="41" t="s">
        <v>681</v>
      </c>
      <c r="B9" s="41">
        <f>Energiatoodang!R44</f>
        <v>1796747.09</v>
      </c>
      <c r="E9" s="41" t="s">
        <v>732</v>
      </c>
      <c r="F9" s="41">
        <f>Energiatoodang!$AA$44</f>
        <v>2636756.75</v>
      </c>
      <c r="H9" s="41" t="s">
        <v>745</v>
      </c>
      <c r="I9" s="41">
        <f>Energiatoodang!AI44</f>
        <v>1483428.98</v>
      </c>
    </row>
    <row r="10" spans="1:9" x14ac:dyDescent="0.35">
      <c r="A10" s="41" t="s">
        <v>680</v>
      </c>
      <c r="B10" s="41">
        <f>Energiatoodang!S44</f>
        <v>5298156.96</v>
      </c>
      <c r="E10" s="41" t="s">
        <v>733</v>
      </c>
      <c r="F10" s="41">
        <f>Energiatoodang!$AB$44</f>
        <v>7664998.71</v>
      </c>
      <c r="H10" s="41" t="s">
        <v>761</v>
      </c>
      <c r="I10" s="41">
        <f>Energiatoodang!AJ44</f>
        <v>3930391</v>
      </c>
    </row>
    <row r="11" spans="1:9" x14ac:dyDescent="0.35">
      <c r="A11" s="41" t="s">
        <v>678</v>
      </c>
      <c r="B11" s="41">
        <f>Energiatoodang!T44</f>
        <v>9064.0999999999985</v>
      </c>
      <c r="E11" s="41" t="s">
        <v>734</v>
      </c>
      <c r="F11" s="41">
        <f>Energiatoodang!$AC$44/1000</f>
        <v>26.32574</v>
      </c>
    </row>
    <row r="12" spans="1:9" x14ac:dyDescent="0.35">
      <c r="A12" s="41" t="s">
        <v>690</v>
      </c>
      <c r="B12" s="41">
        <f>Energiatoodang!W44</f>
        <v>9064.0999999999985</v>
      </c>
      <c r="E12" s="41" t="s">
        <v>737</v>
      </c>
      <c r="F12" s="41">
        <f>F11*900</f>
        <v>23693.166000000001</v>
      </c>
      <c r="H12" s="41" t="s">
        <v>763</v>
      </c>
      <c r="I12" s="41">
        <v>51</v>
      </c>
    </row>
    <row r="13" spans="1:9" x14ac:dyDescent="0.35">
      <c r="A13" s="41" t="s">
        <v>679</v>
      </c>
      <c r="B13" s="41">
        <v>25</v>
      </c>
      <c r="E13" s="41" t="s">
        <v>679</v>
      </c>
      <c r="F13" s="41">
        <v>9</v>
      </c>
      <c r="H13" s="41" t="s">
        <v>764</v>
      </c>
      <c r="I13" s="41">
        <f>I9/I12</f>
        <v>29086.842745098038</v>
      </c>
    </row>
    <row r="14" spans="1:9" x14ac:dyDescent="0.35">
      <c r="A14" s="41" t="s">
        <v>691</v>
      </c>
      <c r="B14" s="41">
        <f>B12*B13</f>
        <v>226602.49999999997</v>
      </c>
      <c r="E14" s="41" t="s">
        <v>738</v>
      </c>
      <c r="F14" s="41">
        <f>F12*F13</f>
        <v>213238.49400000001</v>
      </c>
    </row>
    <row r="15" spans="1:9" x14ac:dyDescent="0.35">
      <c r="A15" s="41" t="s">
        <v>684</v>
      </c>
      <c r="B15" s="65">
        <f>B12/B9</f>
        <v>5.0447278030654819E-3</v>
      </c>
      <c r="C15" s="65"/>
      <c r="D15" s="65"/>
      <c r="E15" s="41" t="s">
        <v>762</v>
      </c>
      <c r="F15" s="65">
        <f>F12/F9</f>
        <v>8.9857230857567742E-3</v>
      </c>
      <c r="I15" s="65"/>
    </row>
    <row r="16" spans="1:9" x14ac:dyDescent="0.35">
      <c r="A16" s="41" t="s">
        <v>689</v>
      </c>
      <c r="B16" s="65">
        <f>B14/B9</f>
        <v>0.12611819507663705</v>
      </c>
      <c r="C16" s="65"/>
      <c r="D16" s="65"/>
      <c r="E16" s="41" t="s">
        <v>735</v>
      </c>
      <c r="F16" s="65">
        <f>F14/F9</f>
        <v>8.0871507771810958E-2</v>
      </c>
      <c r="I16" s="65"/>
    </row>
    <row r="18" spans="1:9" x14ac:dyDescent="0.35">
      <c r="A18" s="64" t="s">
        <v>747</v>
      </c>
      <c r="B18" s="63"/>
      <c r="C18" s="63"/>
      <c r="D18" s="63"/>
      <c r="E18" s="64" t="s">
        <v>739</v>
      </c>
      <c r="F18" s="63"/>
      <c r="H18" s="64" t="s">
        <v>739</v>
      </c>
      <c r="I18" s="63"/>
    </row>
    <row r="19" spans="1:9" x14ac:dyDescent="0.35">
      <c r="A19" s="41" t="s">
        <v>683</v>
      </c>
      <c r="B19" s="41">
        <v>8300000</v>
      </c>
      <c r="E19" s="41" t="s">
        <v>683</v>
      </c>
      <c r="F19" s="41">
        <v>8300000</v>
      </c>
      <c r="H19" s="41" t="s">
        <v>683</v>
      </c>
      <c r="I19" s="41">
        <v>8300000</v>
      </c>
    </row>
    <row r="20" spans="1:9" x14ac:dyDescent="0.35">
      <c r="B20" s="46">
        <f>B9/SUM($B$9+$F$9+$I$9)</f>
        <v>0.30366190468256826</v>
      </c>
      <c r="F20" s="46">
        <f>F9/SUM($B$9+$F$9+$I$9)</f>
        <v>0.44562898214551638</v>
      </c>
      <c r="I20" s="46">
        <f>I9/SUM($B$9+$F$9+$I$9)</f>
        <v>0.2507091131719153</v>
      </c>
    </row>
    <row r="21" spans="1:9" x14ac:dyDescent="0.35">
      <c r="B21" s="41">
        <f>B19*B20</f>
        <v>2520393.8088653167</v>
      </c>
      <c r="F21" s="41">
        <f>F19*F20</f>
        <v>3698720.5518077859</v>
      </c>
      <c r="I21" s="41">
        <f>I19*I20</f>
        <v>2080885.639326897</v>
      </c>
    </row>
    <row r="22" spans="1:9" x14ac:dyDescent="0.35">
      <c r="A22" s="41" t="s">
        <v>684</v>
      </c>
      <c r="B22" s="41">
        <f>B15*B20*B19</f>
        <v>12714.70072225697</v>
      </c>
      <c r="E22" s="41" t="s">
        <v>762</v>
      </c>
      <c r="F22" s="41">
        <f>F15*F20*F19</f>
        <v>33235.678650142261</v>
      </c>
      <c r="H22" s="41" t="s">
        <v>765</v>
      </c>
      <c r="I22" s="41">
        <f>(I21/I13)</f>
        <v>71.540443820688836</v>
      </c>
    </row>
    <row r="23" spans="1:9" x14ac:dyDescent="0.35">
      <c r="A23" s="41" t="s">
        <v>689</v>
      </c>
      <c r="B23" s="41">
        <f>B22*B13</f>
        <v>317867.51805642428</v>
      </c>
      <c r="E23" s="41" t="s">
        <v>735</v>
      </c>
      <c r="F23" s="41">
        <f>F22*F13</f>
        <v>299121.10785128037</v>
      </c>
    </row>
    <row r="24" spans="1:9" x14ac:dyDescent="0.35">
      <c r="A24" s="41" t="s">
        <v>767</v>
      </c>
      <c r="B24" s="43">
        <f>B21/B23</f>
        <v>7.9290700234993015</v>
      </c>
      <c r="E24" s="41" t="s">
        <v>766</v>
      </c>
      <c r="F24" s="43">
        <f>F21/F23</f>
        <v>12.36529437316322</v>
      </c>
      <c r="I24" s="6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04B01-8338-48A0-B40B-A8BC2A3761F5}">
  <dimension ref="A3:E17"/>
  <sheetViews>
    <sheetView workbookViewId="0">
      <selection activeCell="H27" sqref="H27"/>
    </sheetView>
  </sheetViews>
  <sheetFormatPr defaultColWidth="8.81640625" defaultRowHeight="14.5" x14ac:dyDescent="0.35"/>
  <cols>
    <col min="1" max="1" width="32.81640625" style="3" bestFit="1" customWidth="1"/>
    <col min="2" max="2" width="15.6328125" style="3" bestFit="1" customWidth="1"/>
    <col min="3" max="4" width="8.54296875" style="44" bestFit="1" customWidth="1"/>
    <col min="5" max="5" width="10.36328125" style="44" bestFit="1" customWidth="1"/>
    <col min="6" max="7" width="8.54296875" style="3" bestFit="1" customWidth="1"/>
    <col min="8" max="9" width="6.1796875" style="3" bestFit="1" customWidth="1"/>
    <col min="10" max="10" width="7.1796875" style="3" bestFit="1" customWidth="1"/>
    <col min="11" max="13" width="8.54296875" style="3" bestFit="1" customWidth="1"/>
    <col min="14" max="14" width="10.36328125" style="3" bestFit="1" customWidth="1"/>
    <col min="15" max="17" width="7.1796875" style="3" bestFit="1" customWidth="1"/>
    <col min="18" max="18" width="6.1796875" style="3" bestFit="1" customWidth="1"/>
    <col min="19" max="19" width="9.1796875" style="3" bestFit="1" customWidth="1"/>
    <col min="20" max="21" width="7.1796875" style="3" bestFit="1" customWidth="1"/>
    <col min="22" max="24" width="8.54296875" style="3" bestFit="1" customWidth="1"/>
    <col min="25" max="25" width="9.1796875" style="3" bestFit="1" customWidth="1"/>
    <col min="26" max="26" width="10.36328125" style="3" bestFit="1" customWidth="1"/>
    <col min="27" max="16384" width="8.81640625" style="3"/>
  </cols>
  <sheetData>
    <row r="3" spans="1:5" x14ac:dyDescent="0.35">
      <c r="A3" s="3" t="s">
        <v>616</v>
      </c>
      <c r="B3" s="3" t="s">
        <v>611</v>
      </c>
    </row>
    <row r="4" spans="1:5" x14ac:dyDescent="0.35">
      <c r="A4" s="44" t="s">
        <v>612</v>
      </c>
      <c r="B4" s="3" t="s">
        <v>632</v>
      </c>
      <c r="C4" s="3" t="s">
        <v>633</v>
      </c>
      <c r="D4" s="3" t="s">
        <v>634</v>
      </c>
      <c r="E4" s="3" t="s">
        <v>613</v>
      </c>
    </row>
    <row r="5" spans="1:5" x14ac:dyDescent="0.35">
      <c r="A5" s="45" t="s">
        <v>639</v>
      </c>
      <c r="B5" s="41"/>
      <c r="C5" s="41">
        <v>734398.65999999992</v>
      </c>
      <c r="D5" s="41">
        <v>105309.96</v>
      </c>
      <c r="E5" s="41">
        <v>839708.61999999988</v>
      </c>
    </row>
    <row r="6" spans="1:5" x14ac:dyDescent="0.35">
      <c r="A6" s="45" t="s">
        <v>640</v>
      </c>
      <c r="B6" s="41"/>
      <c r="C6" s="41">
        <v>1209961.04</v>
      </c>
      <c r="D6" s="41">
        <v>190332.79999999999</v>
      </c>
      <c r="E6" s="41">
        <v>1400293.84</v>
      </c>
    </row>
    <row r="7" spans="1:5" x14ac:dyDescent="0.35">
      <c r="A7" s="45" t="s">
        <v>641</v>
      </c>
      <c r="B7" s="41"/>
      <c r="C7" s="41">
        <v>574722.19999999995</v>
      </c>
      <c r="D7" s="41">
        <v>1285239.9200000002</v>
      </c>
      <c r="E7" s="41">
        <v>1859962.12</v>
      </c>
    </row>
    <row r="8" spans="1:5" x14ac:dyDescent="0.35">
      <c r="A8" s="45" t="s">
        <v>642</v>
      </c>
      <c r="B8" s="41"/>
      <c r="C8" s="41">
        <v>1524818.4</v>
      </c>
      <c r="D8" s="41">
        <v>1078677.3</v>
      </c>
      <c r="E8" s="41">
        <v>2603495.7000000002</v>
      </c>
    </row>
    <row r="9" spans="1:5" x14ac:dyDescent="0.35">
      <c r="A9" s="45" t="s">
        <v>643</v>
      </c>
      <c r="B9" s="41"/>
      <c r="C9" s="41">
        <v>452091.24</v>
      </c>
      <c r="D9" s="41">
        <v>2564963.3199999998</v>
      </c>
      <c r="E9" s="41">
        <v>3017054.5599999996</v>
      </c>
    </row>
    <row r="10" spans="1:5" x14ac:dyDescent="0.35">
      <c r="A10" s="45" t="s">
        <v>644</v>
      </c>
      <c r="B10" s="41"/>
      <c r="C10" s="41">
        <v>1067684.22</v>
      </c>
      <c r="D10" s="41"/>
      <c r="E10" s="41">
        <v>1067684.22</v>
      </c>
    </row>
    <row r="11" spans="1:5" x14ac:dyDescent="0.35">
      <c r="A11" s="45" t="s">
        <v>645</v>
      </c>
      <c r="B11" s="41"/>
      <c r="C11" s="41">
        <v>55047</v>
      </c>
      <c r="D11" s="41"/>
      <c r="E11" s="41">
        <v>55047</v>
      </c>
    </row>
    <row r="12" spans="1:5" x14ac:dyDescent="0.35">
      <c r="A12" s="45" t="s">
        <v>646</v>
      </c>
      <c r="B12" s="41"/>
      <c r="C12" s="41">
        <v>89321.600000000006</v>
      </c>
      <c r="D12" s="41"/>
      <c r="E12" s="41">
        <v>89321.600000000006</v>
      </c>
    </row>
    <row r="13" spans="1:5" x14ac:dyDescent="0.35">
      <c r="A13" s="45" t="s">
        <v>635</v>
      </c>
      <c r="B13" s="41">
        <v>123448.9</v>
      </c>
      <c r="C13" s="41">
        <v>185141.8</v>
      </c>
      <c r="D13" s="41"/>
      <c r="E13" s="41">
        <v>308590.69999999995</v>
      </c>
    </row>
    <row r="14" spans="1:5" x14ac:dyDescent="0.35">
      <c r="A14" s="45" t="s">
        <v>636</v>
      </c>
      <c r="B14" s="41">
        <v>709124.07000000007</v>
      </c>
      <c r="C14" s="41">
        <v>471903.70999999996</v>
      </c>
      <c r="D14" s="41"/>
      <c r="E14" s="41">
        <v>1181027.78</v>
      </c>
    </row>
    <row r="15" spans="1:5" x14ac:dyDescent="0.35">
      <c r="A15" s="45" t="s">
        <v>637</v>
      </c>
      <c r="B15" s="41">
        <v>1358924.06</v>
      </c>
      <c r="C15" s="41">
        <v>282477.78000000003</v>
      </c>
      <c r="D15" s="41"/>
      <c r="E15" s="41">
        <v>1641401.84</v>
      </c>
    </row>
    <row r="16" spans="1:5" x14ac:dyDescent="0.35">
      <c r="A16" s="45" t="s">
        <v>638</v>
      </c>
      <c r="B16" s="41">
        <v>1591622.1700000002</v>
      </c>
      <c r="C16" s="41">
        <v>75845</v>
      </c>
      <c r="D16" s="41"/>
      <c r="E16" s="41">
        <v>1667467.1700000002</v>
      </c>
    </row>
    <row r="17" spans="1:5" x14ac:dyDescent="0.35">
      <c r="A17" s="45" t="s">
        <v>613</v>
      </c>
      <c r="B17" s="41">
        <v>3783119.2</v>
      </c>
      <c r="C17" s="41">
        <v>6723412.6499999994</v>
      </c>
      <c r="D17" s="41">
        <v>5224523.3000000007</v>
      </c>
      <c r="E17" s="41">
        <v>15731055.149999999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C479C-FECF-4002-B2C9-473F57DC9810}">
  <dimension ref="A3:E17"/>
  <sheetViews>
    <sheetView workbookViewId="0">
      <selection activeCell="AB22" sqref="AB22"/>
    </sheetView>
  </sheetViews>
  <sheetFormatPr defaultColWidth="8.81640625" defaultRowHeight="14.5" x14ac:dyDescent="0.35"/>
  <cols>
    <col min="1" max="1" width="35.54296875" style="3" bestFit="1" customWidth="1"/>
    <col min="2" max="2" width="15.6328125" style="3" bestFit="1" customWidth="1"/>
    <col min="3" max="3" width="7.1796875" style="3" bestFit="1" customWidth="1"/>
    <col min="4" max="4" width="6.1796875" style="3" bestFit="1" customWidth="1"/>
    <col min="5" max="5" width="10.36328125" style="3" bestFit="1" customWidth="1"/>
    <col min="6" max="10" width="6.1796875" style="3" bestFit="1" customWidth="1"/>
    <col min="11" max="13" width="7.1796875" style="3" bestFit="1" customWidth="1"/>
    <col min="14" max="14" width="10.36328125" style="3" bestFit="1" customWidth="1"/>
    <col min="15" max="15" width="6.1796875" style="3" bestFit="1" customWidth="1"/>
    <col min="16" max="16" width="7.1796875" style="3" bestFit="1" customWidth="1"/>
    <col min="17" max="18" width="6.1796875" style="3" bestFit="1" customWidth="1"/>
    <col min="19" max="19" width="9.1796875" style="3" bestFit="1" customWidth="1"/>
    <col min="20" max="20" width="6.54296875" style="3" bestFit="1" customWidth="1"/>
    <col min="21" max="24" width="6.1796875" style="3" bestFit="1" customWidth="1"/>
    <col min="25" max="25" width="9.1796875" style="3" bestFit="1" customWidth="1"/>
    <col min="26" max="26" width="10.36328125" style="3" bestFit="1" customWidth="1"/>
    <col min="27" max="16384" width="8.81640625" style="3"/>
  </cols>
  <sheetData>
    <row r="3" spans="1:5" x14ac:dyDescent="0.35">
      <c r="A3" s="3" t="s">
        <v>647</v>
      </c>
      <c r="B3" s="3" t="s">
        <v>611</v>
      </c>
    </row>
    <row r="4" spans="1:5" x14ac:dyDescent="0.35">
      <c r="A4" s="3" t="s">
        <v>612</v>
      </c>
      <c r="B4" s="3" t="s">
        <v>632</v>
      </c>
      <c r="C4" s="3" t="s">
        <v>633</v>
      </c>
      <c r="D4" s="3" t="s">
        <v>634</v>
      </c>
      <c r="E4" s="3" t="s">
        <v>613</v>
      </c>
    </row>
    <row r="5" spans="1:5" x14ac:dyDescent="0.35">
      <c r="A5" s="45" t="s">
        <v>639</v>
      </c>
      <c r="B5" s="41"/>
      <c r="C5" s="41">
        <v>122399.77666666666</v>
      </c>
      <c r="D5" s="41">
        <v>26327.49</v>
      </c>
      <c r="E5" s="41">
        <v>83970.861999999994</v>
      </c>
    </row>
    <row r="6" spans="1:5" x14ac:dyDescent="0.35">
      <c r="A6" s="45" t="s">
        <v>640</v>
      </c>
      <c r="B6" s="41"/>
      <c r="C6" s="41">
        <v>93073.926153846158</v>
      </c>
      <c r="D6" s="41">
        <v>38066.559999999998</v>
      </c>
      <c r="E6" s="41">
        <v>77794.102222222224</v>
      </c>
    </row>
    <row r="7" spans="1:5" x14ac:dyDescent="0.35">
      <c r="A7" s="45" t="s">
        <v>641</v>
      </c>
      <c r="B7" s="41"/>
      <c r="C7" s="41">
        <v>143680.54999999999</v>
      </c>
      <c r="D7" s="41">
        <v>85682.661333333337</v>
      </c>
      <c r="E7" s="41">
        <v>97892.743157894743</v>
      </c>
    </row>
    <row r="8" spans="1:5" x14ac:dyDescent="0.35">
      <c r="A8" s="45" t="s">
        <v>642</v>
      </c>
      <c r="B8" s="41"/>
      <c r="C8" s="41">
        <v>152481.84</v>
      </c>
      <c r="D8" s="41">
        <v>67417.331250000003</v>
      </c>
      <c r="E8" s="41">
        <v>100134.44999999998</v>
      </c>
    </row>
    <row r="9" spans="1:5" x14ac:dyDescent="0.35">
      <c r="A9" s="45" t="s">
        <v>643</v>
      </c>
      <c r="B9" s="41"/>
      <c r="C9" s="41">
        <v>41099.203636363636</v>
      </c>
      <c r="D9" s="41">
        <v>91605.832857142857</v>
      </c>
      <c r="E9" s="41">
        <v>77360.373333333322</v>
      </c>
    </row>
    <row r="10" spans="1:5" x14ac:dyDescent="0.35">
      <c r="A10" s="45" t="s">
        <v>644</v>
      </c>
      <c r="B10" s="41"/>
      <c r="C10" s="41">
        <v>71178.948000000004</v>
      </c>
      <c r="D10" s="41"/>
      <c r="E10" s="41">
        <v>71178.948000000004</v>
      </c>
    </row>
    <row r="11" spans="1:5" x14ac:dyDescent="0.35">
      <c r="A11" s="45" t="s">
        <v>645</v>
      </c>
      <c r="B11" s="41"/>
      <c r="C11" s="41">
        <v>18349</v>
      </c>
      <c r="D11" s="41"/>
      <c r="E11" s="41">
        <v>18349</v>
      </c>
    </row>
    <row r="12" spans="1:5" x14ac:dyDescent="0.35">
      <c r="A12" s="45" t="s">
        <v>646</v>
      </c>
      <c r="B12" s="41"/>
      <c r="C12" s="41">
        <v>29773.866666666669</v>
      </c>
      <c r="D12" s="41"/>
      <c r="E12" s="41">
        <v>29773.866666666669</v>
      </c>
    </row>
    <row r="13" spans="1:5" x14ac:dyDescent="0.35">
      <c r="A13" s="45" t="s">
        <v>635</v>
      </c>
      <c r="B13" s="41">
        <v>41149.633333333331</v>
      </c>
      <c r="C13" s="41">
        <v>61713.933333333327</v>
      </c>
      <c r="D13" s="41"/>
      <c r="E13" s="41">
        <v>51431.783333333333</v>
      </c>
    </row>
    <row r="14" spans="1:5" x14ac:dyDescent="0.35">
      <c r="A14" s="45" t="s">
        <v>636</v>
      </c>
      <c r="B14" s="41">
        <v>141824.81400000001</v>
      </c>
      <c r="C14" s="41">
        <v>117975.92749999999</v>
      </c>
      <c r="D14" s="41"/>
      <c r="E14" s="41">
        <v>131225.30888888892</v>
      </c>
    </row>
    <row r="15" spans="1:5" x14ac:dyDescent="0.35">
      <c r="A15" s="45" t="s">
        <v>637</v>
      </c>
      <c r="B15" s="41">
        <v>113243.67166666668</v>
      </c>
      <c r="C15" s="41">
        <v>70619.445000000007</v>
      </c>
      <c r="D15" s="41"/>
      <c r="E15" s="41">
        <v>102587.61500000001</v>
      </c>
    </row>
    <row r="16" spans="1:5" x14ac:dyDescent="0.35">
      <c r="A16" s="45" t="s">
        <v>638</v>
      </c>
      <c r="B16" s="41">
        <v>106108.14466666667</v>
      </c>
      <c r="C16" s="41">
        <v>25281.666666666668</v>
      </c>
      <c r="D16" s="41"/>
      <c r="E16" s="41">
        <v>92637.065000000002</v>
      </c>
    </row>
    <row r="17" spans="1:5" x14ac:dyDescent="0.35">
      <c r="A17" s="45" t="s">
        <v>613</v>
      </c>
      <c r="B17" s="41">
        <v>108089.12000000002</v>
      </c>
      <c r="C17" s="41">
        <v>85106.489240506329</v>
      </c>
      <c r="D17" s="41">
        <v>76831.225000000006</v>
      </c>
      <c r="E17" s="41">
        <v>86434.368956043952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01F51-DFA8-43CF-8D95-0B40ED707242}">
  <dimension ref="A3:E17"/>
  <sheetViews>
    <sheetView workbookViewId="0">
      <selection activeCell="D56" sqref="D56"/>
    </sheetView>
  </sheetViews>
  <sheetFormatPr defaultColWidth="8.81640625" defaultRowHeight="14.5" x14ac:dyDescent="0.35"/>
  <cols>
    <col min="1" max="1" width="34.08984375" style="3" bestFit="1" customWidth="1"/>
    <col min="2" max="2" width="15.6328125" style="3" bestFit="1" customWidth="1"/>
    <col min="3" max="4" width="4.81640625" style="3" bestFit="1" customWidth="1"/>
    <col min="5" max="5" width="10.36328125" style="3" bestFit="1" customWidth="1"/>
    <col min="6" max="6" width="5.90625" style="3" bestFit="1" customWidth="1"/>
    <col min="7" max="7" width="5.36328125" style="3" bestFit="1" customWidth="1"/>
    <col min="8" max="8" width="4.81640625" style="3" bestFit="1" customWidth="1"/>
    <col min="9" max="9" width="5.6328125" style="3" bestFit="1" customWidth="1"/>
    <col min="10" max="10" width="5.81640625" style="3" bestFit="1" customWidth="1"/>
    <col min="11" max="11" width="5.453125" style="3" bestFit="1" customWidth="1"/>
    <col min="12" max="13" width="5.81640625" style="3" bestFit="1" customWidth="1"/>
    <col min="14" max="14" width="10.36328125" style="3" bestFit="1" customWidth="1"/>
    <col min="15" max="16384" width="8.81640625" style="3"/>
  </cols>
  <sheetData>
    <row r="3" spans="1:5" x14ac:dyDescent="0.35">
      <c r="A3" s="3" t="s">
        <v>648</v>
      </c>
      <c r="B3" s="3" t="s">
        <v>611</v>
      </c>
    </row>
    <row r="4" spans="1:5" x14ac:dyDescent="0.35">
      <c r="A4" s="3" t="s">
        <v>612</v>
      </c>
      <c r="B4" s="3" t="s">
        <v>632</v>
      </c>
      <c r="C4" s="3" t="s">
        <v>633</v>
      </c>
      <c r="D4" s="3" t="s">
        <v>634</v>
      </c>
      <c r="E4" s="3" t="s">
        <v>613</v>
      </c>
    </row>
    <row r="5" spans="1:5" x14ac:dyDescent="0.35">
      <c r="A5" s="45" t="s">
        <v>639</v>
      </c>
      <c r="C5" s="3">
        <v>6</v>
      </c>
      <c r="D5" s="3">
        <v>4</v>
      </c>
      <c r="E5" s="3">
        <v>10</v>
      </c>
    </row>
    <row r="6" spans="1:5" x14ac:dyDescent="0.35">
      <c r="A6" s="45" t="s">
        <v>640</v>
      </c>
      <c r="C6" s="3">
        <v>13</v>
      </c>
      <c r="D6" s="3">
        <v>5</v>
      </c>
      <c r="E6" s="3">
        <v>18</v>
      </c>
    </row>
    <row r="7" spans="1:5" x14ac:dyDescent="0.35">
      <c r="A7" s="45" t="s">
        <v>641</v>
      </c>
      <c r="C7" s="3">
        <v>4</v>
      </c>
      <c r="D7" s="3">
        <v>15</v>
      </c>
      <c r="E7" s="3">
        <v>19</v>
      </c>
    </row>
    <row r="8" spans="1:5" x14ac:dyDescent="0.35">
      <c r="A8" s="45" t="s">
        <v>642</v>
      </c>
      <c r="C8" s="3">
        <v>10</v>
      </c>
      <c r="D8" s="3">
        <v>16</v>
      </c>
      <c r="E8" s="3">
        <v>26</v>
      </c>
    </row>
    <row r="9" spans="1:5" x14ac:dyDescent="0.35">
      <c r="A9" s="45" t="s">
        <v>643</v>
      </c>
      <c r="C9" s="3">
        <v>11</v>
      </c>
      <c r="D9" s="3">
        <v>28</v>
      </c>
      <c r="E9" s="3">
        <v>39</v>
      </c>
    </row>
    <row r="10" spans="1:5" x14ac:dyDescent="0.35">
      <c r="A10" s="45" t="s">
        <v>644</v>
      </c>
      <c r="C10" s="3">
        <v>15</v>
      </c>
      <c r="E10" s="3">
        <v>15</v>
      </c>
    </row>
    <row r="11" spans="1:5" x14ac:dyDescent="0.35">
      <c r="A11" s="45" t="s">
        <v>645</v>
      </c>
      <c r="C11" s="3">
        <v>3</v>
      </c>
      <c r="E11" s="3">
        <v>3</v>
      </c>
    </row>
    <row r="12" spans="1:5" x14ac:dyDescent="0.35">
      <c r="A12" s="45" t="s">
        <v>646</v>
      </c>
      <c r="C12" s="3">
        <v>3</v>
      </c>
      <c r="E12" s="3">
        <v>3</v>
      </c>
    </row>
    <row r="13" spans="1:5" x14ac:dyDescent="0.35">
      <c r="A13" s="45" t="s">
        <v>635</v>
      </c>
      <c r="B13" s="3">
        <v>3</v>
      </c>
      <c r="C13" s="3">
        <v>3</v>
      </c>
      <c r="E13" s="3">
        <v>6</v>
      </c>
    </row>
    <row r="14" spans="1:5" x14ac:dyDescent="0.35">
      <c r="A14" s="45" t="s">
        <v>636</v>
      </c>
      <c r="B14" s="3">
        <v>5</v>
      </c>
      <c r="C14" s="3">
        <v>4</v>
      </c>
      <c r="E14" s="3">
        <v>9</v>
      </c>
    </row>
    <row r="15" spans="1:5" x14ac:dyDescent="0.35">
      <c r="A15" s="45" t="s">
        <v>637</v>
      </c>
      <c r="B15" s="3">
        <v>12</v>
      </c>
      <c r="C15" s="3">
        <v>4</v>
      </c>
      <c r="E15" s="3">
        <v>16</v>
      </c>
    </row>
    <row r="16" spans="1:5" x14ac:dyDescent="0.35">
      <c r="A16" s="45" t="s">
        <v>638</v>
      </c>
      <c r="B16" s="3">
        <v>15</v>
      </c>
      <c r="C16" s="3">
        <v>3</v>
      </c>
      <c r="E16" s="3">
        <v>18</v>
      </c>
    </row>
    <row r="17" spans="1:5" x14ac:dyDescent="0.35">
      <c r="A17" s="45" t="s">
        <v>613</v>
      </c>
      <c r="B17" s="3">
        <v>35</v>
      </c>
      <c r="C17" s="3">
        <v>79</v>
      </c>
      <c r="D17" s="3">
        <v>68</v>
      </c>
      <c r="E17" s="3">
        <v>182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E359A-485B-4604-8113-BA63563573C6}">
  <dimension ref="A1:CO74"/>
  <sheetViews>
    <sheetView showGridLines="0" zoomScale="89" zoomScaleNormal="70" workbookViewId="0">
      <selection activeCell="K43" sqref="K43"/>
    </sheetView>
  </sheetViews>
  <sheetFormatPr defaultColWidth="8.6328125" defaultRowHeight="14.5" x14ac:dyDescent="0.35"/>
  <cols>
    <col min="1" max="1" width="13.36328125" style="59" customWidth="1"/>
    <col min="2" max="2" width="40.453125" style="59" customWidth="1"/>
    <col min="3" max="3" width="17.36328125" style="59" customWidth="1"/>
    <col min="4" max="4" width="28.6328125" style="59" customWidth="1"/>
    <col min="5" max="5" width="21.6328125" style="59" customWidth="1"/>
    <col min="6" max="6" width="11.453125" style="59" customWidth="1"/>
    <col min="7" max="7" width="20.1796875" style="59" customWidth="1"/>
    <col min="8" max="8" width="12.6328125" style="61" customWidth="1"/>
    <col min="9" max="9" width="19.1796875" style="61" customWidth="1"/>
    <col min="10" max="10" width="14.81640625" style="61" customWidth="1"/>
    <col min="11" max="11" width="12.81640625" style="59" customWidth="1"/>
    <col min="12" max="12" width="13.36328125" style="59" customWidth="1"/>
    <col min="13" max="13" width="16.1796875" style="59" customWidth="1"/>
    <col min="14" max="14" width="15.453125" style="59" customWidth="1"/>
    <col min="15" max="16" width="8.6328125" style="59" customWidth="1"/>
    <col min="17" max="17" width="22.453125" style="59" customWidth="1"/>
    <col min="18" max="18" width="14.90625" style="59" customWidth="1"/>
    <col min="19" max="19" width="17.1796875" style="59" customWidth="1"/>
    <col min="20" max="20" width="11" style="59" customWidth="1"/>
    <col min="21" max="21" width="15" style="59" customWidth="1"/>
    <col min="22" max="22" width="19.90625" style="59" customWidth="1"/>
    <col min="23" max="23" width="34.81640625" style="59" customWidth="1"/>
    <col min="24" max="24" width="21.1796875" style="59" customWidth="1"/>
    <col min="25" max="26" width="16.6328125" style="59" customWidth="1"/>
    <col min="27" max="27" width="17.08984375" style="59" customWidth="1"/>
    <col min="28" max="28" width="18.54296875" style="59" customWidth="1"/>
    <col min="29" max="29" width="16.54296875" style="59" customWidth="1"/>
    <col min="30" max="30" width="14.81640625" style="59" customWidth="1"/>
    <col min="31" max="31" width="20.08984375" style="59" customWidth="1"/>
    <col min="32" max="32" width="26.90625" style="59" customWidth="1"/>
    <col min="33" max="37" width="14.08984375" style="59" customWidth="1"/>
    <col min="38" max="16384" width="8.6328125" style="59"/>
  </cols>
  <sheetData>
    <row r="1" spans="1:93" x14ac:dyDescent="0.35">
      <c r="A1" s="80" t="s">
        <v>1</v>
      </c>
      <c r="B1" s="81" t="s">
        <v>4</v>
      </c>
      <c r="C1" s="81" t="s">
        <v>6</v>
      </c>
      <c r="D1" s="81" t="s">
        <v>8</v>
      </c>
      <c r="E1" s="81" t="s">
        <v>650</v>
      </c>
      <c r="F1" s="81" t="s">
        <v>10</v>
      </c>
      <c r="G1" s="81" t="s">
        <v>631</v>
      </c>
      <c r="H1" s="82" t="s">
        <v>651</v>
      </c>
      <c r="I1" s="82" t="s">
        <v>652</v>
      </c>
      <c r="J1" s="82" t="s">
        <v>653</v>
      </c>
      <c r="K1" s="81" t="s">
        <v>654</v>
      </c>
      <c r="L1" s="81" t="s">
        <v>15</v>
      </c>
      <c r="M1" s="83" t="s">
        <v>665</v>
      </c>
      <c r="N1" s="81" t="s">
        <v>655</v>
      </c>
      <c r="O1" s="81" t="s">
        <v>656</v>
      </c>
      <c r="P1" s="81" t="s">
        <v>608</v>
      </c>
      <c r="Q1" s="81" t="s">
        <v>667</v>
      </c>
      <c r="R1" s="81" t="s">
        <v>668</v>
      </c>
      <c r="S1" s="81" t="s">
        <v>669</v>
      </c>
      <c r="T1" s="81" t="s">
        <v>670</v>
      </c>
      <c r="U1" s="81" t="s">
        <v>671</v>
      </c>
      <c r="V1" s="81" t="s">
        <v>672</v>
      </c>
      <c r="W1" s="81" t="s">
        <v>666</v>
      </c>
      <c r="X1" s="81" t="s">
        <v>673</v>
      </c>
      <c r="Y1" s="81" t="s">
        <v>674</v>
      </c>
      <c r="Z1" s="81"/>
      <c r="AA1" s="113" t="s">
        <v>694</v>
      </c>
      <c r="AB1" s="114" t="s">
        <v>695</v>
      </c>
      <c r="AC1" s="113" t="s">
        <v>696</v>
      </c>
      <c r="AD1" s="81" t="s">
        <v>697</v>
      </c>
      <c r="AE1" s="81" t="s">
        <v>698</v>
      </c>
      <c r="AF1" s="81" t="s">
        <v>741</v>
      </c>
      <c r="AG1" s="81" t="s">
        <v>742</v>
      </c>
      <c r="AH1" s="81" t="s">
        <v>699</v>
      </c>
      <c r="AI1" s="81" t="s">
        <v>740</v>
      </c>
      <c r="AJ1" s="81" t="s">
        <v>743</v>
      </c>
      <c r="AK1" s="81"/>
    </row>
    <row r="2" spans="1:93" x14ac:dyDescent="0.35">
      <c r="A2" s="84" t="s">
        <v>700</v>
      </c>
      <c r="B2" s="85" t="s">
        <v>93</v>
      </c>
      <c r="C2" s="85" t="s">
        <v>101</v>
      </c>
      <c r="D2" s="86">
        <v>210000</v>
      </c>
      <c r="E2" s="86">
        <v>700000</v>
      </c>
      <c r="F2" s="87">
        <v>45200</v>
      </c>
      <c r="G2" s="88" t="s">
        <v>657</v>
      </c>
      <c r="H2" s="89">
        <v>900</v>
      </c>
      <c r="I2" s="89"/>
      <c r="J2" s="89"/>
      <c r="K2" s="90" t="s">
        <v>658</v>
      </c>
      <c r="L2" s="91">
        <v>231574</v>
      </c>
      <c r="M2" s="92"/>
      <c r="N2" s="93"/>
      <c r="O2" s="94">
        <f>MONTH(Energiatoodang!$F2)</f>
        <v>10</v>
      </c>
      <c r="P2" s="95">
        <f>YEAR(Energiatoodang!$F2)</f>
        <v>2023</v>
      </c>
      <c r="Q2" s="93"/>
      <c r="R2" s="94">
        <v>210000</v>
      </c>
      <c r="S2" s="96">
        <v>700000</v>
      </c>
      <c r="T2" s="94">
        <v>900</v>
      </c>
      <c r="U2" s="94">
        <f>Energiatoodang!$R2/Energiatoodang!$T2</f>
        <v>233.33333333333334</v>
      </c>
      <c r="V2" s="96">
        <f>Energiatoodang!$S2/Energiatoodang!$T2</f>
        <v>777.77777777777783</v>
      </c>
      <c r="W2" s="94">
        <f>Energiatoodang!$T2</f>
        <v>900</v>
      </c>
      <c r="X2" s="94">
        <f>Energiatoodang!$W2*25</f>
        <v>22500</v>
      </c>
      <c r="Y2" s="96">
        <f>Energiatoodang!$R2/Energiatoodang!$X2</f>
        <v>9.3333333333333339</v>
      </c>
      <c r="Z2" s="96"/>
      <c r="AA2" s="94"/>
      <c r="AB2" s="94"/>
      <c r="AC2" s="94"/>
      <c r="AD2" s="94"/>
      <c r="AE2" s="94"/>
      <c r="AF2" s="94"/>
      <c r="AG2" s="94"/>
      <c r="AH2" s="94"/>
      <c r="AI2" s="94">
        <f>D2-R2-AA2</f>
        <v>0</v>
      </c>
      <c r="AJ2" s="94">
        <f>E2-S2-AB2</f>
        <v>0</v>
      </c>
      <c r="AK2" s="94"/>
    </row>
    <row r="3" spans="1:93" s="60" customFormat="1" x14ac:dyDescent="0.35">
      <c r="A3" s="84" t="s">
        <v>701</v>
      </c>
      <c r="B3" s="85" t="s">
        <v>35</v>
      </c>
      <c r="C3" s="85" t="s">
        <v>87</v>
      </c>
      <c r="D3" s="86">
        <v>132000</v>
      </c>
      <c r="E3" s="86">
        <v>330000</v>
      </c>
      <c r="F3" s="87">
        <v>45254</v>
      </c>
      <c r="G3" s="88" t="s">
        <v>657</v>
      </c>
      <c r="H3" s="89">
        <v>414</v>
      </c>
      <c r="I3" s="89"/>
      <c r="J3" s="89"/>
      <c r="K3" s="90" t="s">
        <v>658</v>
      </c>
      <c r="L3" s="91">
        <v>231574</v>
      </c>
      <c r="M3" s="92"/>
      <c r="N3" s="93"/>
      <c r="O3" s="94">
        <f>MONTH(Energiatoodang!$F3)</f>
        <v>11</v>
      </c>
      <c r="P3" s="95">
        <f>YEAR(Energiatoodang!$F3)</f>
        <v>2023</v>
      </c>
      <c r="Q3" s="93"/>
      <c r="R3" s="94">
        <v>132000</v>
      </c>
      <c r="S3" s="96">
        <v>330000</v>
      </c>
      <c r="T3" s="94">
        <v>414</v>
      </c>
      <c r="U3" s="94">
        <f>Energiatoodang!$R3/Energiatoodang!$T3</f>
        <v>318.84057971014494</v>
      </c>
      <c r="V3" s="96">
        <f>Energiatoodang!$S3/Energiatoodang!$T3</f>
        <v>797.10144927536237</v>
      </c>
      <c r="W3" s="94">
        <f>Energiatoodang!$T3</f>
        <v>414</v>
      </c>
      <c r="X3" s="94">
        <f>Energiatoodang!$W3*25</f>
        <v>10350</v>
      </c>
      <c r="Y3" s="96">
        <f>Energiatoodang!$R3/Energiatoodang!$X3</f>
        <v>12.753623188405797</v>
      </c>
      <c r="Z3" s="96"/>
      <c r="AA3" s="94"/>
      <c r="AB3" s="94"/>
      <c r="AC3" s="94"/>
      <c r="AD3" s="94"/>
      <c r="AE3" s="94"/>
      <c r="AF3" s="94"/>
      <c r="AG3" s="94"/>
      <c r="AH3" s="94"/>
      <c r="AI3" s="94">
        <f t="shared" ref="AI3:AI33" si="0">D3-R3-AA3</f>
        <v>0</v>
      </c>
      <c r="AJ3" s="94">
        <f t="shared" ref="AJ3:AJ33" si="1">E3-S3-AB3</f>
        <v>0</v>
      </c>
      <c r="AK3" s="94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</row>
    <row r="4" spans="1:93" x14ac:dyDescent="0.35">
      <c r="A4" s="84" t="s">
        <v>702</v>
      </c>
      <c r="B4" s="85" t="s">
        <v>35</v>
      </c>
      <c r="C4" s="85" t="s">
        <v>47</v>
      </c>
      <c r="D4" s="86">
        <v>84000</v>
      </c>
      <c r="E4" s="86">
        <v>210000</v>
      </c>
      <c r="F4" s="87">
        <v>45254</v>
      </c>
      <c r="G4" s="88" t="s">
        <v>657</v>
      </c>
      <c r="H4" s="89">
        <v>390.6</v>
      </c>
      <c r="I4" s="89"/>
      <c r="J4" s="89"/>
      <c r="K4" s="90" t="s">
        <v>658</v>
      </c>
      <c r="L4" s="91">
        <v>231574</v>
      </c>
      <c r="M4" s="92"/>
      <c r="N4" s="93"/>
      <c r="O4" s="94">
        <f>MONTH(Energiatoodang!$F4)</f>
        <v>11</v>
      </c>
      <c r="P4" s="95">
        <f>YEAR(Energiatoodang!$F4)</f>
        <v>2023</v>
      </c>
      <c r="Q4" s="93"/>
      <c r="R4" s="94">
        <v>84000</v>
      </c>
      <c r="S4" s="96">
        <v>210000</v>
      </c>
      <c r="T4" s="94">
        <v>390.6</v>
      </c>
      <c r="U4" s="94">
        <f>Energiatoodang!$R4/Energiatoodang!$T4</f>
        <v>215.05376344086019</v>
      </c>
      <c r="V4" s="96">
        <f>Energiatoodang!$S4/Energiatoodang!$T4</f>
        <v>537.63440860215053</v>
      </c>
      <c r="W4" s="94">
        <f>Energiatoodang!$T4</f>
        <v>390.6</v>
      </c>
      <c r="X4" s="94">
        <f>Energiatoodang!$W4*25</f>
        <v>9765</v>
      </c>
      <c r="Y4" s="96">
        <f>Energiatoodang!$R4/Energiatoodang!$X4</f>
        <v>8.6021505376344081</v>
      </c>
      <c r="Z4" s="96"/>
      <c r="AA4" s="94"/>
      <c r="AB4" s="94"/>
      <c r="AC4" s="94"/>
      <c r="AD4" s="94"/>
      <c r="AE4" s="94"/>
      <c r="AF4" s="94"/>
      <c r="AG4" s="94"/>
      <c r="AH4" s="94"/>
      <c r="AI4" s="94">
        <f t="shared" si="0"/>
        <v>0</v>
      </c>
      <c r="AJ4" s="94">
        <f t="shared" si="1"/>
        <v>0</v>
      </c>
      <c r="AK4" s="94"/>
    </row>
    <row r="5" spans="1:93" x14ac:dyDescent="0.35">
      <c r="A5" s="84" t="s">
        <v>703</v>
      </c>
      <c r="B5" s="85" t="s">
        <v>35</v>
      </c>
      <c r="C5" s="85" t="s">
        <v>158</v>
      </c>
      <c r="D5" s="86">
        <v>74000</v>
      </c>
      <c r="E5" s="86">
        <v>185000</v>
      </c>
      <c r="F5" s="87">
        <v>45265</v>
      </c>
      <c r="G5" s="88" t="s">
        <v>657</v>
      </c>
      <c r="H5" s="89">
        <v>305</v>
      </c>
      <c r="I5" s="89"/>
      <c r="J5" s="89"/>
      <c r="K5" s="90" t="s">
        <v>660</v>
      </c>
      <c r="L5" s="91">
        <v>231540</v>
      </c>
      <c r="M5" s="92"/>
      <c r="N5" s="93"/>
      <c r="O5" s="94">
        <f>MONTH(Energiatoodang!$F5)</f>
        <v>12</v>
      </c>
      <c r="P5" s="95">
        <f>YEAR(Energiatoodang!$F5)</f>
        <v>2023</v>
      </c>
      <c r="Q5" s="93"/>
      <c r="R5" s="94">
        <v>74000</v>
      </c>
      <c r="S5" s="96">
        <v>185000</v>
      </c>
      <c r="T5" s="94">
        <v>305</v>
      </c>
      <c r="U5" s="94">
        <f>Energiatoodang!$R5/Energiatoodang!$T5</f>
        <v>242.62295081967213</v>
      </c>
      <c r="V5" s="96">
        <f>Energiatoodang!$S5/Energiatoodang!$T5</f>
        <v>606.55737704918033</v>
      </c>
      <c r="W5" s="94">
        <f>Energiatoodang!$T5</f>
        <v>305</v>
      </c>
      <c r="X5" s="94">
        <f>Energiatoodang!$W5*25</f>
        <v>7625</v>
      </c>
      <c r="Y5" s="96">
        <f>Energiatoodang!$R5/Energiatoodang!$X5</f>
        <v>9.7049180327868854</v>
      </c>
      <c r="Z5" s="96"/>
      <c r="AA5" s="94"/>
      <c r="AB5" s="94"/>
      <c r="AC5" s="94"/>
      <c r="AD5" s="94"/>
      <c r="AE5" s="94"/>
      <c r="AF5" s="94"/>
      <c r="AG5" s="94"/>
      <c r="AH5" s="94"/>
      <c r="AI5" s="94">
        <f t="shared" si="0"/>
        <v>0</v>
      </c>
      <c r="AJ5" s="94">
        <f t="shared" si="1"/>
        <v>0</v>
      </c>
      <c r="AK5" s="94"/>
    </row>
    <row r="6" spans="1:93" s="60" customFormat="1" x14ac:dyDescent="0.35">
      <c r="A6" s="84" t="s">
        <v>704</v>
      </c>
      <c r="B6" s="85" t="s">
        <v>35</v>
      </c>
      <c r="C6" s="85" t="s">
        <v>101</v>
      </c>
      <c r="D6" s="86">
        <v>72800</v>
      </c>
      <c r="E6" s="86">
        <v>182000</v>
      </c>
      <c r="F6" s="87">
        <v>45273</v>
      </c>
      <c r="G6" s="88" t="s">
        <v>657</v>
      </c>
      <c r="H6" s="89">
        <v>423</v>
      </c>
      <c r="I6" s="89"/>
      <c r="J6" s="89"/>
      <c r="K6" s="90" t="s">
        <v>658</v>
      </c>
      <c r="L6" s="91">
        <v>231574</v>
      </c>
      <c r="M6" s="92"/>
      <c r="N6" s="93"/>
      <c r="O6" s="94">
        <f>MONTH(Energiatoodang!$F6)</f>
        <v>12</v>
      </c>
      <c r="P6" s="95">
        <f>YEAR(Energiatoodang!$F6)</f>
        <v>2023</v>
      </c>
      <c r="Q6" s="93"/>
      <c r="R6" s="94">
        <v>72800</v>
      </c>
      <c r="S6" s="96">
        <v>182000</v>
      </c>
      <c r="T6" s="94">
        <v>423</v>
      </c>
      <c r="U6" s="94">
        <f>Energiatoodang!$R6/Energiatoodang!$T6</f>
        <v>172.10401891252954</v>
      </c>
      <c r="V6" s="96">
        <f>Energiatoodang!$S6/Energiatoodang!$T6</f>
        <v>430.26004728132386</v>
      </c>
      <c r="W6" s="94">
        <f>Energiatoodang!$T6</f>
        <v>423</v>
      </c>
      <c r="X6" s="94">
        <f>Energiatoodang!$W6*25</f>
        <v>10575</v>
      </c>
      <c r="Y6" s="96">
        <f>Energiatoodang!$R6/Energiatoodang!$X6</f>
        <v>6.8841607565011822</v>
      </c>
      <c r="Z6" s="96"/>
      <c r="AA6" s="94"/>
      <c r="AB6" s="94"/>
      <c r="AC6" s="94"/>
      <c r="AD6" s="94"/>
      <c r="AE6" s="94"/>
      <c r="AF6" s="94"/>
      <c r="AG6" s="94"/>
      <c r="AH6" s="94"/>
      <c r="AI6" s="94">
        <f t="shared" si="0"/>
        <v>0</v>
      </c>
      <c r="AJ6" s="94">
        <f t="shared" si="1"/>
        <v>0</v>
      </c>
      <c r="AK6" s="94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</row>
    <row r="7" spans="1:93" s="60" customFormat="1" x14ac:dyDescent="0.35">
      <c r="A7" s="84" t="s">
        <v>705</v>
      </c>
      <c r="B7" s="85" t="s">
        <v>35</v>
      </c>
      <c r="C7" s="85" t="s">
        <v>101</v>
      </c>
      <c r="D7" s="86">
        <v>59200</v>
      </c>
      <c r="E7" s="86">
        <v>148000</v>
      </c>
      <c r="F7" s="87">
        <v>45273</v>
      </c>
      <c r="G7" s="88" t="s">
        <v>657</v>
      </c>
      <c r="H7" s="89">
        <v>254.1</v>
      </c>
      <c r="I7" s="89"/>
      <c r="J7" s="89"/>
      <c r="K7" s="90" t="s">
        <v>658</v>
      </c>
      <c r="L7" s="91">
        <v>231574</v>
      </c>
      <c r="M7" s="92"/>
      <c r="N7" s="93"/>
      <c r="O7" s="94">
        <f>MONTH(Energiatoodang!$F7)</f>
        <v>12</v>
      </c>
      <c r="P7" s="95">
        <f>YEAR(Energiatoodang!$F7)</f>
        <v>2023</v>
      </c>
      <c r="Q7" s="93"/>
      <c r="R7" s="94">
        <v>59200</v>
      </c>
      <c r="S7" s="96">
        <v>148000</v>
      </c>
      <c r="T7" s="94">
        <v>254.1</v>
      </c>
      <c r="U7" s="94">
        <f>Energiatoodang!$R7/Energiatoodang!$T7</f>
        <v>232.97914207005115</v>
      </c>
      <c r="V7" s="96">
        <f>Energiatoodang!$S7/Energiatoodang!$T7</f>
        <v>582.44785517512787</v>
      </c>
      <c r="W7" s="94">
        <f>Energiatoodang!$T7</f>
        <v>254.1</v>
      </c>
      <c r="X7" s="94">
        <f>Energiatoodang!$W7*25</f>
        <v>6352.5</v>
      </c>
      <c r="Y7" s="96">
        <f>Energiatoodang!$R7/Energiatoodang!$X7</f>
        <v>9.3191656828020459</v>
      </c>
      <c r="Z7" s="96"/>
      <c r="AA7" s="94"/>
      <c r="AB7" s="94"/>
      <c r="AC7" s="94"/>
      <c r="AD7" s="94"/>
      <c r="AE7" s="94"/>
      <c r="AF7" s="94"/>
      <c r="AG7" s="94"/>
      <c r="AH7" s="94"/>
      <c r="AI7" s="94">
        <f t="shared" si="0"/>
        <v>0</v>
      </c>
      <c r="AJ7" s="94">
        <f t="shared" si="1"/>
        <v>0</v>
      </c>
      <c r="AK7" s="94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</row>
    <row r="8" spans="1:93" s="60" customFormat="1" x14ac:dyDescent="0.35">
      <c r="A8" s="84" t="s">
        <v>706</v>
      </c>
      <c r="B8" s="85" t="s">
        <v>93</v>
      </c>
      <c r="C8" s="85" t="s">
        <v>556</v>
      </c>
      <c r="D8" s="86">
        <v>116700</v>
      </c>
      <c r="E8" s="86">
        <v>389000</v>
      </c>
      <c r="F8" s="87">
        <v>45280</v>
      </c>
      <c r="G8" s="88" t="s">
        <v>657</v>
      </c>
      <c r="H8" s="89">
        <v>570</v>
      </c>
      <c r="I8" s="89"/>
      <c r="J8" s="89"/>
      <c r="K8" s="90" t="s">
        <v>658</v>
      </c>
      <c r="L8" s="91">
        <v>231574</v>
      </c>
      <c r="M8" s="92"/>
      <c r="N8" s="93">
        <v>4</v>
      </c>
      <c r="O8" s="94">
        <f>MONTH(Energiatoodang!$F8)</f>
        <v>12</v>
      </c>
      <c r="P8" s="95">
        <f>YEAR(Energiatoodang!$F8)</f>
        <v>2023</v>
      </c>
      <c r="Q8" s="93">
        <v>4</v>
      </c>
      <c r="R8" s="94">
        <v>116700</v>
      </c>
      <c r="S8" s="96">
        <v>389000</v>
      </c>
      <c r="T8" s="94">
        <v>570</v>
      </c>
      <c r="U8" s="94">
        <f>Energiatoodang!$R8/Energiatoodang!$T8</f>
        <v>204.73684210526315</v>
      </c>
      <c r="V8" s="96">
        <f>Energiatoodang!$S8/Energiatoodang!$T8</f>
        <v>682.45614035087715</v>
      </c>
      <c r="W8" s="94">
        <f>Energiatoodang!$T8</f>
        <v>570</v>
      </c>
      <c r="X8" s="94">
        <f>Energiatoodang!$W8*25</f>
        <v>14250</v>
      </c>
      <c r="Y8" s="96">
        <f>Energiatoodang!$R8/Energiatoodang!$X8</f>
        <v>8.189473684210526</v>
      </c>
      <c r="Z8" s="96"/>
      <c r="AA8" s="94"/>
      <c r="AB8" s="94"/>
      <c r="AC8" s="94"/>
      <c r="AD8" s="94"/>
      <c r="AE8" s="94"/>
      <c r="AF8" s="94"/>
      <c r="AG8" s="94"/>
      <c r="AH8" s="94"/>
      <c r="AI8" s="94">
        <f t="shared" si="0"/>
        <v>0</v>
      </c>
      <c r="AJ8" s="94">
        <f t="shared" si="1"/>
        <v>0</v>
      </c>
      <c r="AK8" s="94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</row>
    <row r="9" spans="1:93" x14ac:dyDescent="0.35">
      <c r="A9" s="84" t="s">
        <v>707</v>
      </c>
      <c r="B9" s="85" t="s">
        <v>93</v>
      </c>
      <c r="C9" s="85" t="s">
        <v>555</v>
      </c>
      <c r="D9" s="86">
        <v>25000</v>
      </c>
      <c r="E9" s="86">
        <v>125000</v>
      </c>
      <c r="F9" s="87">
        <v>45302</v>
      </c>
      <c r="G9" s="88" t="s">
        <v>657</v>
      </c>
      <c r="H9" s="89">
        <v>190</v>
      </c>
      <c r="I9" s="89"/>
      <c r="J9" s="89"/>
      <c r="K9" s="90" t="s">
        <v>658</v>
      </c>
      <c r="L9" s="91">
        <v>231574</v>
      </c>
      <c r="M9" s="92"/>
      <c r="N9" s="93">
        <v>7</v>
      </c>
      <c r="O9" s="94">
        <f>MONTH(Energiatoodang!$F9)</f>
        <v>1</v>
      </c>
      <c r="P9" s="95">
        <f>YEAR(Energiatoodang!$F9)</f>
        <v>2024</v>
      </c>
      <c r="Q9" s="93">
        <v>7</v>
      </c>
      <c r="R9" s="94">
        <v>25000</v>
      </c>
      <c r="S9" s="96">
        <v>125000</v>
      </c>
      <c r="T9" s="94">
        <v>190</v>
      </c>
      <c r="U9" s="94">
        <f>Energiatoodang!$R9/Energiatoodang!$T9</f>
        <v>131.57894736842104</v>
      </c>
      <c r="V9" s="96">
        <f>Energiatoodang!$S9/Energiatoodang!$T9</f>
        <v>657.89473684210532</v>
      </c>
      <c r="W9" s="94">
        <f>Energiatoodang!$T9</f>
        <v>190</v>
      </c>
      <c r="X9" s="94">
        <f>Energiatoodang!$W9*25</f>
        <v>4750</v>
      </c>
      <c r="Y9" s="96">
        <f>Energiatoodang!$R9/Energiatoodang!$X9</f>
        <v>5.2631578947368425</v>
      </c>
      <c r="Z9" s="96"/>
      <c r="AA9" s="94"/>
      <c r="AB9" s="94"/>
      <c r="AC9" s="94"/>
      <c r="AD9" s="94"/>
      <c r="AE9" s="94"/>
      <c r="AF9" s="94"/>
      <c r="AG9" s="94"/>
      <c r="AH9" s="94"/>
      <c r="AI9" s="94">
        <f t="shared" si="0"/>
        <v>0</v>
      </c>
      <c r="AJ9" s="94">
        <f t="shared" si="1"/>
        <v>0</v>
      </c>
      <c r="AK9" s="94"/>
    </row>
    <row r="10" spans="1:93" s="60" customFormat="1" x14ac:dyDescent="0.35">
      <c r="A10" s="84" t="s">
        <v>708</v>
      </c>
      <c r="B10" s="85" t="s">
        <v>93</v>
      </c>
      <c r="C10" s="85" t="s">
        <v>73</v>
      </c>
      <c r="D10" s="86">
        <v>39000</v>
      </c>
      <c r="E10" s="86">
        <v>195000</v>
      </c>
      <c r="F10" s="87">
        <v>45342</v>
      </c>
      <c r="G10" s="88" t="s">
        <v>657</v>
      </c>
      <c r="H10" s="89">
        <v>330</v>
      </c>
      <c r="I10" s="89"/>
      <c r="J10" s="89"/>
      <c r="K10" s="90" t="s">
        <v>660</v>
      </c>
      <c r="L10" s="91">
        <v>231540</v>
      </c>
      <c r="M10" s="92"/>
      <c r="N10" s="93">
        <v>5</v>
      </c>
      <c r="O10" s="94">
        <f>MONTH(Energiatoodang!$F10)</f>
        <v>2</v>
      </c>
      <c r="P10" s="95">
        <f>YEAR(Energiatoodang!$F10)</f>
        <v>2024</v>
      </c>
      <c r="Q10" s="93">
        <v>5</v>
      </c>
      <c r="R10" s="94">
        <v>39000</v>
      </c>
      <c r="S10" s="96">
        <v>195000</v>
      </c>
      <c r="T10" s="94">
        <v>330</v>
      </c>
      <c r="U10" s="94">
        <f>Energiatoodang!$R10/Energiatoodang!$T10</f>
        <v>118.18181818181819</v>
      </c>
      <c r="V10" s="96">
        <f>Energiatoodang!$S10/Energiatoodang!$T10</f>
        <v>590.90909090909088</v>
      </c>
      <c r="W10" s="94">
        <f>Energiatoodang!$T10</f>
        <v>330</v>
      </c>
      <c r="X10" s="94">
        <f>Energiatoodang!$W10*25</f>
        <v>8250</v>
      </c>
      <c r="Y10" s="96">
        <f>Energiatoodang!$R10/Energiatoodang!$X10</f>
        <v>4.7272727272727275</v>
      </c>
      <c r="Z10" s="96"/>
      <c r="AA10" s="94"/>
      <c r="AB10" s="94"/>
      <c r="AC10" s="94"/>
      <c r="AD10" s="94"/>
      <c r="AE10" s="94"/>
      <c r="AF10" s="94"/>
      <c r="AG10" s="94"/>
      <c r="AH10" s="94"/>
      <c r="AI10" s="94">
        <f t="shared" si="0"/>
        <v>0</v>
      </c>
      <c r="AJ10" s="94">
        <f t="shared" si="1"/>
        <v>0</v>
      </c>
      <c r="AK10" s="94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</row>
    <row r="11" spans="1:93" s="60" customFormat="1" x14ac:dyDescent="0.35">
      <c r="A11" s="84" t="s">
        <v>709</v>
      </c>
      <c r="B11" s="85" t="s">
        <v>35</v>
      </c>
      <c r="C11" s="85" t="s">
        <v>47</v>
      </c>
      <c r="D11" s="86">
        <v>50000</v>
      </c>
      <c r="E11" s="86">
        <v>125000</v>
      </c>
      <c r="F11" s="87">
        <v>45443</v>
      </c>
      <c r="G11" s="88" t="s">
        <v>657</v>
      </c>
      <c r="H11" s="89">
        <v>220</v>
      </c>
      <c r="I11" s="89"/>
      <c r="J11" s="89"/>
      <c r="K11" s="90" t="s">
        <v>658</v>
      </c>
      <c r="L11" s="91">
        <v>231574</v>
      </c>
      <c r="M11" s="92"/>
      <c r="N11" s="93"/>
      <c r="O11" s="94">
        <f>MONTH(Energiatoodang!$F11)</f>
        <v>5</v>
      </c>
      <c r="P11" s="95">
        <f>YEAR(Energiatoodang!$F11)</f>
        <v>2024</v>
      </c>
      <c r="Q11" s="93"/>
      <c r="R11" s="94">
        <v>50000</v>
      </c>
      <c r="S11" s="96">
        <v>125000</v>
      </c>
      <c r="T11" s="94">
        <v>220</v>
      </c>
      <c r="U11" s="94">
        <f>Energiatoodang!$R11/Energiatoodang!$T11</f>
        <v>227.27272727272728</v>
      </c>
      <c r="V11" s="96">
        <f>Energiatoodang!$S11/Energiatoodang!$T11</f>
        <v>568.18181818181813</v>
      </c>
      <c r="W11" s="94">
        <f>Energiatoodang!$T11</f>
        <v>220</v>
      </c>
      <c r="X11" s="94">
        <f>Energiatoodang!$W11*25</f>
        <v>5500</v>
      </c>
      <c r="Y11" s="96">
        <f>Energiatoodang!$R11/Energiatoodang!$X11</f>
        <v>9.0909090909090917</v>
      </c>
      <c r="Z11" s="96"/>
      <c r="AA11" s="94"/>
      <c r="AB11" s="94"/>
      <c r="AC11" s="94"/>
      <c r="AD11" s="94"/>
      <c r="AE11" s="94"/>
      <c r="AF11" s="94"/>
      <c r="AG11" s="94"/>
      <c r="AH11" s="94"/>
      <c r="AI11" s="94">
        <f t="shared" si="0"/>
        <v>0</v>
      </c>
      <c r="AJ11" s="94">
        <f t="shared" si="1"/>
        <v>0</v>
      </c>
      <c r="AK11" s="94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/>
      <c r="CO11" s="59"/>
    </row>
    <row r="12" spans="1:93" s="60" customFormat="1" x14ac:dyDescent="0.35">
      <c r="A12" s="84" t="s">
        <v>710</v>
      </c>
      <c r="B12" s="85" t="s">
        <v>93</v>
      </c>
      <c r="C12" s="85" t="s">
        <v>47</v>
      </c>
      <c r="D12" s="86">
        <v>46000</v>
      </c>
      <c r="E12" s="86">
        <v>230000</v>
      </c>
      <c r="F12" s="87">
        <v>45462</v>
      </c>
      <c r="G12" s="88" t="s">
        <v>657</v>
      </c>
      <c r="H12" s="89">
        <v>328</v>
      </c>
      <c r="I12" s="89"/>
      <c r="J12" s="89"/>
      <c r="K12" s="90" t="s">
        <v>658</v>
      </c>
      <c r="L12" s="91">
        <v>231599</v>
      </c>
      <c r="M12" s="92"/>
      <c r="N12" s="93"/>
      <c r="O12" s="94">
        <f>MONTH(Energiatoodang!$F12)</f>
        <v>6</v>
      </c>
      <c r="P12" s="95">
        <f>YEAR(Energiatoodang!$F12)</f>
        <v>2024</v>
      </c>
      <c r="Q12" s="93"/>
      <c r="R12" s="94">
        <v>46000</v>
      </c>
      <c r="S12" s="96">
        <v>230000</v>
      </c>
      <c r="T12" s="94">
        <v>328</v>
      </c>
      <c r="U12" s="94">
        <f>Energiatoodang!$R12/Energiatoodang!$T12</f>
        <v>140.2439024390244</v>
      </c>
      <c r="V12" s="96">
        <f>Energiatoodang!$S12/Energiatoodang!$T12</f>
        <v>701.21951219512198</v>
      </c>
      <c r="W12" s="94">
        <f>Energiatoodang!$T12</f>
        <v>328</v>
      </c>
      <c r="X12" s="94">
        <f>Energiatoodang!$W12*25</f>
        <v>8200</v>
      </c>
      <c r="Y12" s="96">
        <f>Energiatoodang!$R12/Energiatoodang!$X12</f>
        <v>5.6097560975609753</v>
      </c>
      <c r="Z12" s="96"/>
      <c r="AA12" s="94"/>
      <c r="AB12" s="94"/>
      <c r="AC12" s="94"/>
      <c r="AD12" s="94"/>
      <c r="AE12" s="94"/>
      <c r="AF12" s="94"/>
      <c r="AG12" s="94"/>
      <c r="AH12" s="94"/>
      <c r="AI12" s="94">
        <f t="shared" si="0"/>
        <v>0</v>
      </c>
      <c r="AJ12" s="94">
        <f t="shared" si="1"/>
        <v>0</v>
      </c>
      <c r="AK12" s="94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</row>
    <row r="13" spans="1:93" s="60" customFormat="1" x14ac:dyDescent="0.35">
      <c r="A13" s="84" t="s">
        <v>711</v>
      </c>
      <c r="B13" s="85" t="s">
        <v>20</v>
      </c>
      <c r="C13" s="85" t="s">
        <v>303</v>
      </c>
      <c r="D13" s="86">
        <v>66000</v>
      </c>
      <c r="E13" s="86">
        <v>165000</v>
      </c>
      <c r="F13" s="87">
        <v>45468</v>
      </c>
      <c r="G13" s="88" t="s">
        <v>657</v>
      </c>
      <c r="H13" s="89">
        <v>158</v>
      </c>
      <c r="I13" s="89"/>
      <c r="J13" s="89"/>
      <c r="K13" s="90" t="s">
        <v>658</v>
      </c>
      <c r="L13" s="91">
        <v>231599</v>
      </c>
      <c r="M13" s="92"/>
      <c r="N13" s="93"/>
      <c r="O13" s="94">
        <f>MONTH(Energiatoodang!$F13)</f>
        <v>6</v>
      </c>
      <c r="P13" s="95">
        <f>YEAR(Energiatoodang!$F13)</f>
        <v>2024</v>
      </c>
      <c r="Q13" s="93"/>
      <c r="R13" s="94">
        <v>66000</v>
      </c>
      <c r="S13" s="96">
        <v>165000</v>
      </c>
      <c r="T13" s="94">
        <v>158</v>
      </c>
      <c r="U13" s="94">
        <f>Energiatoodang!$R13/Energiatoodang!$T13</f>
        <v>417.72151898734177</v>
      </c>
      <c r="V13" s="96">
        <f>Energiatoodang!$S13/Energiatoodang!$T13</f>
        <v>1044.3037974683543</v>
      </c>
      <c r="W13" s="94">
        <f>Energiatoodang!$T13</f>
        <v>158</v>
      </c>
      <c r="X13" s="94">
        <f>Energiatoodang!$W13*25</f>
        <v>3950</v>
      </c>
      <c r="Y13" s="96">
        <f>Energiatoodang!$R13/Energiatoodang!$X13</f>
        <v>16.708860759493671</v>
      </c>
      <c r="Z13" s="96"/>
      <c r="AA13" s="94"/>
      <c r="AB13" s="94"/>
      <c r="AC13" s="94"/>
      <c r="AD13" s="94"/>
      <c r="AE13" s="94"/>
      <c r="AF13" s="94"/>
      <c r="AG13" s="94"/>
      <c r="AH13" s="94"/>
      <c r="AI13" s="94">
        <f t="shared" si="0"/>
        <v>0</v>
      </c>
      <c r="AJ13" s="94">
        <f t="shared" si="1"/>
        <v>0</v>
      </c>
      <c r="AK13" s="94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59"/>
    </row>
    <row r="14" spans="1:93" s="60" customFormat="1" x14ac:dyDescent="0.35">
      <c r="A14" s="84" t="s">
        <v>712</v>
      </c>
      <c r="B14" s="85" t="s">
        <v>35</v>
      </c>
      <c r="C14" s="85" t="s">
        <v>158</v>
      </c>
      <c r="D14" s="86">
        <v>54000</v>
      </c>
      <c r="E14" s="86">
        <v>135000</v>
      </c>
      <c r="F14" s="87">
        <v>45513</v>
      </c>
      <c r="G14" s="88" t="s">
        <v>657</v>
      </c>
      <c r="H14" s="89">
        <v>336</v>
      </c>
      <c r="I14" s="89"/>
      <c r="J14" s="89"/>
      <c r="K14" s="90" t="s">
        <v>660</v>
      </c>
      <c r="L14" s="91">
        <v>231540</v>
      </c>
      <c r="M14" s="92"/>
      <c r="N14" s="93"/>
      <c r="O14" s="94">
        <f>MONTH(Energiatoodang!$F14)</f>
        <v>8</v>
      </c>
      <c r="P14" s="95">
        <f>YEAR(Energiatoodang!$F14)</f>
        <v>2024</v>
      </c>
      <c r="Q14" s="93"/>
      <c r="R14" s="94">
        <v>54000</v>
      </c>
      <c r="S14" s="96">
        <v>135000</v>
      </c>
      <c r="T14" s="94">
        <v>336</v>
      </c>
      <c r="U14" s="94">
        <f>Energiatoodang!$R14/Energiatoodang!$T14</f>
        <v>160.71428571428572</v>
      </c>
      <c r="V14" s="96">
        <f>Energiatoodang!$S14/Energiatoodang!$T14</f>
        <v>401.78571428571428</v>
      </c>
      <c r="W14" s="94">
        <f>Energiatoodang!$T14</f>
        <v>336</v>
      </c>
      <c r="X14" s="94">
        <f>Energiatoodang!$W14*25</f>
        <v>8400</v>
      </c>
      <c r="Y14" s="96">
        <f>Energiatoodang!$R14/Energiatoodang!$X14</f>
        <v>6.4285714285714288</v>
      </c>
      <c r="Z14" s="96"/>
      <c r="AA14" s="94"/>
      <c r="AB14" s="94"/>
      <c r="AC14" s="94"/>
      <c r="AD14" s="94"/>
      <c r="AE14" s="94"/>
      <c r="AF14" s="94"/>
      <c r="AG14" s="94"/>
      <c r="AH14" s="94"/>
      <c r="AI14" s="94">
        <f t="shared" si="0"/>
        <v>0</v>
      </c>
      <c r="AJ14" s="94">
        <f t="shared" si="1"/>
        <v>0</v>
      </c>
      <c r="AK14" s="94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  <c r="CL14" s="59"/>
      <c r="CM14" s="59"/>
      <c r="CN14" s="59"/>
      <c r="CO14" s="59"/>
    </row>
    <row r="15" spans="1:93" x14ac:dyDescent="0.35">
      <c r="A15" s="84" t="s">
        <v>713</v>
      </c>
      <c r="B15" s="85" t="s">
        <v>35</v>
      </c>
      <c r="C15" s="85" t="s">
        <v>303</v>
      </c>
      <c r="D15" s="86">
        <v>61943.48</v>
      </c>
      <c r="E15" s="86">
        <v>187000</v>
      </c>
      <c r="F15" s="87">
        <v>45209</v>
      </c>
      <c r="G15" s="88" t="s">
        <v>659</v>
      </c>
      <c r="H15" s="89">
        <v>124.2</v>
      </c>
      <c r="I15" s="89">
        <v>90</v>
      </c>
      <c r="J15" s="89">
        <v>1</v>
      </c>
      <c r="K15" s="90" t="s">
        <v>660</v>
      </c>
      <c r="L15" s="91">
        <v>231540</v>
      </c>
      <c r="M15" s="92"/>
      <c r="N15" s="93"/>
      <c r="O15" s="94">
        <f>MONTH(Energiatoodang!$F15)</f>
        <v>10</v>
      </c>
      <c r="P15" s="95">
        <f>YEAR(Energiatoodang!$F15)</f>
        <v>2023</v>
      </c>
      <c r="Q15" s="93"/>
      <c r="R15" s="94">
        <v>36400</v>
      </c>
      <c r="S15" s="96">
        <v>91000</v>
      </c>
      <c r="T15" s="94">
        <v>124.2</v>
      </c>
      <c r="U15" s="94">
        <f>Energiatoodang!$R15/Energiatoodang!$T15</f>
        <v>293.07568438003221</v>
      </c>
      <c r="V15" s="96">
        <f>Energiatoodang!$S15/Energiatoodang!$T15</f>
        <v>732.68921095008045</v>
      </c>
      <c r="W15" s="94">
        <f>Energiatoodang!$T15</f>
        <v>124.2</v>
      </c>
      <c r="X15" s="94">
        <f>Energiatoodang!$W15*25</f>
        <v>3105</v>
      </c>
      <c r="Y15" s="96">
        <f>Energiatoodang!$R15/Energiatoodang!$X15</f>
        <v>11.723027375201289</v>
      </c>
      <c r="Z15" s="96"/>
      <c r="AA15" s="94">
        <f>AB15*0.4</f>
        <v>15560</v>
      </c>
      <c r="AB15" s="94">
        <v>38900</v>
      </c>
      <c r="AC15" s="94">
        <v>90</v>
      </c>
      <c r="AD15" s="94">
        <f t="shared" ref="AD15:AD17" si="2">AA15/AC15</f>
        <v>172.88888888888889</v>
      </c>
      <c r="AE15" s="94">
        <f t="shared" ref="AE15:AE17" si="3">AB15/AC15</f>
        <v>432.22222222222223</v>
      </c>
      <c r="AF15" s="94">
        <f>AC15*900/1000</f>
        <v>81</v>
      </c>
      <c r="AG15" s="94">
        <f>AF15*25</f>
        <v>2025</v>
      </c>
      <c r="AH15" s="94"/>
      <c r="AI15" s="94">
        <f t="shared" si="0"/>
        <v>9983.4800000000032</v>
      </c>
      <c r="AJ15" s="94">
        <f t="shared" si="1"/>
        <v>57100</v>
      </c>
      <c r="AK15" s="94"/>
    </row>
    <row r="16" spans="1:93" x14ac:dyDescent="0.35">
      <c r="A16" s="84" t="s">
        <v>714</v>
      </c>
      <c r="B16" s="85" t="s">
        <v>20</v>
      </c>
      <c r="C16" s="85" t="s">
        <v>73</v>
      </c>
      <c r="D16" s="86">
        <v>190000</v>
      </c>
      <c r="E16" s="86">
        <v>380000</v>
      </c>
      <c r="F16" s="87">
        <v>45286</v>
      </c>
      <c r="G16" s="88" t="s">
        <v>659</v>
      </c>
      <c r="H16" s="89">
        <v>72</v>
      </c>
      <c r="I16" s="89">
        <v>215</v>
      </c>
      <c r="J16" s="89">
        <v>4</v>
      </c>
      <c r="K16" s="90" t="s">
        <v>658</v>
      </c>
      <c r="L16" s="91">
        <v>231574</v>
      </c>
      <c r="M16" s="92"/>
      <c r="N16" s="93"/>
      <c r="O16" s="94">
        <f>MONTH(Energiatoodang!$F16)</f>
        <v>12</v>
      </c>
      <c r="P16" s="95">
        <f>YEAR(Energiatoodang!$F16)</f>
        <v>2023</v>
      </c>
      <c r="Q16" s="93"/>
      <c r="R16" s="94">
        <v>35000</v>
      </c>
      <c r="S16" s="96">
        <v>70000</v>
      </c>
      <c r="T16" s="94">
        <v>72</v>
      </c>
      <c r="U16" s="94">
        <f>Energiatoodang!$R16/Energiatoodang!$T16</f>
        <v>486.11111111111109</v>
      </c>
      <c r="V16" s="96">
        <f>Energiatoodang!$S16/Energiatoodang!$T16</f>
        <v>972.22222222222217</v>
      </c>
      <c r="W16" s="94">
        <f>Energiatoodang!$T16</f>
        <v>72</v>
      </c>
      <c r="X16" s="94">
        <f>Energiatoodang!$W16*25</f>
        <v>1800</v>
      </c>
      <c r="Y16" s="96">
        <f>Energiatoodang!$R16/Energiatoodang!$X16</f>
        <v>19.444444444444443</v>
      </c>
      <c r="Z16" s="96"/>
      <c r="AA16" s="94">
        <f>AB16*0.5</f>
        <v>49044.5</v>
      </c>
      <c r="AB16" s="94">
        <v>98089</v>
      </c>
      <c r="AC16" s="94">
        <v>215</v>
      </c>
      <c r="AD16" s="94">
        <f t="shared" si="2"/>
        <v>228.11395348837209</v>
      </c>
      <c r="AE16" s="94">
        <f t="shared" si="3"/>
        <v>456.22790697674418</v>
      </c>
      <c r="AF16" s="94">
        <f>AC16*900/1000</f>
        <v>193.5</v>
      </c>
      <c r="AG16" s="94">
        <f>AF16*25</f>
        <v>4837.5</v>
      </c>
      <c r="AH16" s="94"/>
      <c r="AI16" s="94">
        <f t="shared" si="0"/>
        <v>105955.5</v>
      </c>
      <c r="AJ16" s="94">
        <f t="shared" si="1"/>
        <v>211911</v>
      </c>
      <c r="AK16" s="94"/>
    </row>
    <row r="17" spans="1:37" x14ac:dyDescent="0.35">
      <c r="A17" s="84" t="s">
        <v>715</v>
      </c>
      <c r="B17" s="85" t="s">
        <v>20</v>
      </c>
      <c r="C17" s="85" t="s">
        <v>22</v>
      </c>
      <c r="D17" s="86">
        <v>66000</v>
      </c>
      <c r="E17" s="86">
        <v>110000</v>
      </c>
      <c r="F17" s="87">
        <v>45713</v>
      </c>
      <c r="G17" s="88" t="s">
        <v>664</v>
      </c>
      <c r="H17" s="89">
        <v>61.9</v>
      </c>
      <c r="I17" s="89">
        <v>24.54</v>
      </c>
      <c r="J17" s="89">
        <v>2</v>
      </c>
      <c r="K17" s="90" t="s">
        <v>660</v>
      </c>
      <c r="L17" s="91">
        <v>231540</v>
      </c>
      <c r="M17" s="92"/>
      <c r="N17" s="93"/>
      <c r="O17" s="94">
        <f>MONTH(Energiatoodang!$F17)</f>
        <v>2</v>
      </c>
      <c r="P17" s="95">
        <f>YEAR(Energiatoodang!$F17)</f>
        <v>2025</v>
      </c>
      <c r="Q17" s="93"/>
      <c r="R17" s="94">
        <v>30000</v>
      </c>
      <c r="S17" s="96">
        <v>50000</v>
      </c>
      <c r="T17" s="94">
        <v>61.9</v>
      </c>
      <c r="U17" s="94">
        <f>Energiatoodang!$R17/Energiatoodang!$T17</f>
        <v>484.65266558966073</v>
      </c>
      <c r="V17" s="96">
        <f>Energiatoodang!$S17/Energiatoodang!$T17</f>
        <v>807.75444264943462</v>
      </c>
      <c r="W17" s="94">
        <f>Energiatoodang!$T17</f>
        <v>61.9</v>
      </c>
      <c r="X17" s="94">
        <f>Energiatoodang!$W17*25</f>
        <v>1547.5</v>
      </c>
      <c r="Y17" s="96">
        <f>Energiatoodang!$R17/Energiatoodang!$X17</f>
        <v>19.386106623586429</v>
      </c>
      <c r="Z17" s="96"/>
      <c r="AA17" s="94">
        <f>AB17*0.6</f>
        <v>6000</v>
      </c>
      <c r="AB17" s="94">
        <v>10000</v>
      </c>
      <c r="AC17" s="94">
        <v>24.54</v>
      </c>
      <c r="AD17" s="94">
        <f t="shared" si="2"/>
        <v>244.49877750611248</v>
      </c>
      <c r="AE17" s="94">
        <f t="shared" si="3"/>
        <v>407.49796251018745</v>
      </c>
      <c r="AF17" s="94">
        <f>AC17*900/1000</f>
        <v>22.085999999999999</v>
      </c>
      <c r="AG17" s="94">
        <f>AF17*25</f>
        <v>552.15</v>
      </c>
      <c r="AH17" s="94"/>
      <c r="AI17" s="94">
        <f t="shared" si="0"/>
        <v>30000</v>
      </c>
      <c r="AJ17" s="94">
        <f t="shared" si="1"/>
        <v>50000</v>
      </c>
      <c r="AK17" s="94"/>
    </row>
    <row r="18" spans="1:37" x14ac:dyDescent="0.35">
      <c r="A18" s="84" t="s">
        <v>716</v>
      </c>
      <c r="B18" s="85" t="s">
        <v>35</v>
      </c>
      <c r="C18" s="85" t="s">
        <v>101</v>
      </c>
      <c r="D18" s="86">
        <v>128000</v>
      </c>
      <c r="E18" s="86">
        <v>450000</v>
      </c>
      <c r="F18" s="87">
        <v>45245</v>
      </c>
      <c r="G18" s="88" t="s">
        <v>662</v>
      </c>
      <c r="H18" s="89">
        <v>565.79999999999995</v>
      </c>
      <c r="I18" s="89">
        <v>200</v>
      </c>
      <c r="J18" s="89">
        <v>1</v>
      </c>
      <c r="K18" s="90" t="s">
        <v>658</v>
      </c>
      <c r="L18" s="91">
        <v>231574</v>
      </c>
      <c r="M18" s="92"/>
      <c r="N18" s="93"/>
      <c r="O18" s="94">
        <f>MONTH(Energiatoodang!$F18)</f>
        <v>11</v>
      </c>
      <c r="P18" s="95">
        <f>YEAR(Energiatoodang!$F18)</f>
        <v>2023</v>
      </c>
      <c r="Q18" s="93"/>
      <c r="R18" s="94">
        <v>120000</v>
      </c>
      <c r="S18" s="96">
        <v>300000</v>
      </c>
      <c r="T18" s="94">
        <v>565.79999999999995</v>
      </c>
      <c r="U18" s="94">
        <f>Energiatoodang!$R18/Energiatoodang!$T18</f>
        <v>212.08907741251326</v>
      </c>
      <c r="V18" s="96">
        <f>Energiatoodang!$S18/Energiatoodang!$T18</f>
        <v>530.2226935312832</v>
      </c>
      <c r="W18" s="94">
        <f>Energiatoodang!$T18</f>
        <v>565.79999999999995</v>
      </c>
      <c r="X18" s="94">
        <f>Energiatoodang!$W18*25</f>
        <v>14144.999999999998</v>
      </c>
      <c r="Y18" s="96">
        <f>Energiatoodang!$R18/Energiatoodang!$X18</f>
        <v>8.4835630965005322</v>
      </c>
      <c r="Z18" s="96"/>
      <c r="AA18" s="94"/>
      <c r="AB18" s="94"/>
      <c r="AC18" s="94"/>
      <c r="AD18" s="94"/>
      <c r="AE18" s="94"/>
      <c r="AF18" s="94"/>
      <c r="AG18" s="94"/>
      <c r="AH18" s="94"/>
      <c r="AI18" s="94">
        <f t="shared" si="0"/>
        <v>8000</v>
      </c>
      <c r="AJ18" s="94">
        <f t="shared" si="1"/>
        <v>150000</v>
      </c>
      <c r="AK18" s="94"/>
    </row>
    <row r="19" spans="1:37" x14ac:dyDescent="0.35">
      <c r="A19" s="84" t="s">
        <v>717</v>
      </c>
      <c r="B19" s="85" t="s">
        <v>93</v>
      </c>
      <c r="C19" s="85" t="s">
        <v>73</v>
      </c>
      <c r="D19" s="86">
        <v>121500</v>
      </c>
      <c r="E19" s="86">
        <v>405000</v>
      </c>
      <c r="F19" s="87">
        <v>45443</v>
      </c>
      <c r="G19" s="88" t="s">
        <v>662</v>
      </c>
      <c r="H19" s="89">
        <v>247</v>
      </c>
      <c r="I19" s="89"/>
      <c r="J19" s="89">
        <v>3</v>
      </c>
      <c r="K19" s="90" t="s">
        <v>658</v>
      </c>
      <c r="L19" s="91">
        <v>231574</v>
      </c>
      <c r="M19" s="92"/>
      <c r="N19" s="93"/>
      <c r="O19" s="94">
        <f>MONTH(Energiatoodang!$F19)</f>
        <v>5</v>
      </c>
      <c r="P19" s="95">
        <f>YEAR(Energiatoodang!$F19)</f>
        <v>2024</v>
      </c>
      <c r="Q19" s="93"/>
      <c r="R19" s="94">
        <v>34200</v>
      </c>
      <c r="S19" s="96">
        <v>114000</v>
      </c>
      <c r="T19" s="94">
        <v>247</v>
      </c>
      <c r="U19" s="94">
        <f>Energiatoodang!$R19/Energiatoodang!$T19</f>
        <v>138.46153846153845</v>
      </c>
      <c r="V19" s="96">
        <f>Energiatoodang!$S19/Energiatoodang!$T19</f>
        <v>461.53846153846155</v>
      </c>
      <c r="W19" s="94">
        <f>Energiatoodang!$T19</f>
        <v>247</v>
      </c>
      <c r="X19" s="94">
        <f>Energiatoodang!$W19*25</f>
        <v>6175</v>
      </c>
      <c r="Y19" s="96">
        <f>Energiatoodang!$R19/Energiatoodang!$X19</f>
        <v>5.5384615384615383</v>
      </c>
      <c r="Z19" s="96"/>
      <c r="AA19" s="94"/>
      <c r="AB19" s="94"/>
      <c r="AC19" s="94"/>
      <c r="AD19" s="94"/>
      <c r="AE19" s="94"/>
      <c r="AF19" s="94"/>
      <c r="AG19" s="94"/>
      <c r="AH19" s="94"/>
      <c r="AI19" s="94">
        <f t="shared" si="0"/>
        <v>87300</v>
      </c>
      <c r="AJ19" s="94">
        <f t="shared" si="1"/>
        <v>291000</v>
      </c>
      <c r="AK19" s="94"/>
    </row>
    <row r="20" spans="1:37" x14ac:dyDescent="0.35">
      <c r="A20" s="84" t="s">
        <v>718</v>
      </c>
      <c r="B20" s="85" t="s">
        <v>20</v>
      </c>
      <c r="C20" s="85" t="s">
        <v>47</v>
      </c>
      <c r="D20" s="86">
        <v>57749.34</v>
      </c>
      <c r="E20" s="86">
        <v>151500</v>
      </c>
      <c r="F20" s="87">
        <v>45233</v>
      </c>
      <c r="G20" s="88" t="s">
        <v>661</v>
      </c>
      <c r="H20" s="89">
        <v>81</v>
      </c>
      <c r="I20" s="89">
        <v>200</v>
      </c>
      <c r="J20" s="89"/>
      <c r="K20" s="90" t="s">
        <v>660</v>
      </c>
      <c r="L20" s="91">
        <v>231540</v>
      </c>
      <c r="M20" s="92"/>
      <c r="N20" s="93"/>
      <c r="O20" s="94">
        <f>MONTH(Energiatoodang!$F20)</f>
        <v>11</v>
      </c>
      <c r="P20" s="95">
        <f>YEAR(Energiatoodang!$F20)</f>
        <v>2023</v>
      </c>
      <c r="Q20" s="93"/>
      <c r="R20" s="94">
        <v>35250</v>
      </c>
      <c r="S20" s="96">
        <v>70500</v>
      </c>
      <c r="T20" s="94">
        <v>81</v>
      </c>
      <c r="U20" s="94">
        <f>Energiatoodang!$R20/Energiatoodang!$T20</f>
        <v>435.18518518518516</v>
      </c>
      <c r="V20" s="96">
        <f>Energiatoodang!$S20/Energiatoodang!$T20</f>
        <v>870.37037037037032</v>
      </c>
      <c r="W20" s="94">
        <f>Energiatoodang!$T20</f>
        <v>81</v>
      </c>
      <c r="X20" s="94">
        <f>Energiatoodang!$W20*25</f>
        <v>2025</v>
      </c>
      <c r="Y20" s="96">
        <f>Energiatoodang!$R20/Energiatoodang!$X20</f>
        <v>17.407407407407408</v>
      </c>
      <c r="Z20" s="96"/>
      <c r="AA20" s="94">
        <f>D20-R20</f>
        <v>22499.339999999997</v>
      </c>
      <c r="AB20" s="94">
        <f>E20-S20</f>
        <v>81000</v>
      </c>
      <c r="AC20" s="89">
        <v>200</v>
      </c>
      <c r="AD20" s="94">
        <f>AA20/AC20</f>
        <v>112.49669999999998</v>
      </c>
      <c r="AE20" s="94">
        <f t="shared" ref="AE20:AE32" si="4">AB20/AC20</f>
        <v>405</v>
      </c>
      <c r="AF20" s="94">
        <f>AC20*900/1000</f>
        <v>180</v>
      </c>
      <c r="AG20" s="94">
        <f>AF20*25</f>
        <v>4500</v>
      </c>
      <c r="AH20" s="94"/>
      <c r="AI20" s="94">
        <f t="shared" si="0"/>
        <v>0</v>
      </c>
      <c r="AJ20" s="94">
        <f t="shared" si="1"/>
        <v>0</v>
      </c>
      <c r="AK20" s="94"/>
    </row>
    <row r="21" spans="1:37" ht="15" customHeight="1" x14ac:dyDescent="0.35">
      <c r="A21" s="84" t="s">
        <v>719</v>
      </c>
      <c r="B21" s="85" t="s">
        <v>35</v>
      </c>
      <c r="C21" s="85" t="s">
        <v>552</v>
      </c>
      <c r="D21" s="86">
        <v>58000</v>
      </c>
      <c r="E21" s="86">
        <v>145000</v>
      </c>
      <c r="F21" s="87">
        <v>45282</v>
      </c>
      <c r="G21" s="88" t="s">
        <v>661</v>
      </c>
      <c r="H21" s="89">
        <v>240</v>
      </c>
      <c r="I21" s="89">
        <v>93.6</v>
      </c>
      <c r="J21" s="89"/>
      <c r="K21" s="90" t="s">
        <v>658</v>
      </c>
      <c r="L21" s="91">
        <v>231574</v>
      </c>
      <c r="M21" s="92"/>
      <c r="N21" s="93">
        <v>6</v>
      </c>
      <c r="O21" s="94">
        <f>MONTH(Energiatoodang!$F21)</f>
        <v>12</v>
      </c>
      <c r="P21" s="95">
        <f>YEAR(Energiatoodang!$F21)</f>
        <v>2023</v>
      </c>
      <c r="Q21" s="93">
        <v>6</v>
      </c>
      <c r="R21" s="94">
        <v>44400</v>
      </c>
      <c r="S21" s="96">
        <v>111000</v>
      </c>
      <c r="T21" s="94">
        <v>240</v>
      </c>
      <c r="U21" s="94">
        <f>Energiatoodang!$R21/Energiatoodang!$T21</f>
        <v>185</v>
      </c>
      <c r="V21" s="96">
        <f>Energiatoodang!$S21/Energiatoodang!$T21</f>
        <v>462.5</v>
      </c>
      <c r="W21" s="94">
        <f>Energiatoodang!$T21</f>
        <v>240</v>
      </c>
      <c r="X21" s="94">
        <f>Energiatoodang!$W21*25</f>
        <v>6000</v>
      </c>
      <c r="Y21" s="96">
        <f>Energiatoodang!$R21/Energiatoodang!$X21</f>
        <v>7.4</v>
      </c>
      <c r="Z21" s="96"/>
      <c r="AA21" s="94">
        <f t="shared" ref="AA21:AA28" si="5">D21-R21</f>
        <v>13600</v>
      </c>
      <c r="AB21" s="94">
        <f t="shared" ref="AB21:AB28" si="6">E21-S21</f>
        <v>34000</v>
      </c>
      <c r="AC21" s="89">
        <v>93.6</v>
      </c>
      <c r="AD21" s="94">
        <f t="shared" ref="AD21:AD32" si="7">AA21/AC21</f>
        <v>145.29914529914529</v>
      </c>
      <c r="AE21" s="94">
        <f t="shared" si="4"/>
        <v>363.24786324786328</v>
      </c>
      <c r="AF21" s="94">
        <f>AC21*900/1000</f>
        <v>84.24</v>
      </c>
      <c r="AG21" s="94">
        <f>AF21*25</f>
        <v>2106</v>
      </c>
      <c r="AH21" s="94"/>
      <c r="AI21" s="94">
        <f t="shared" si="0"/>
        <v>0</v>
      </c>
      <c r="AJ21" s="94">
        <f t="shared" si="1"/>
        <v>0</v>
      </c>
      <c r="AK21" s="94"/>
    </row>
    <row r="22" spans="1:37" x14ac:dyDescent="0.35">
      <c r="A22" s="84" t="s">
        <v>720</v>
      </c>
      <c r="B22" s="85" t="s">
        <v>93</v>
      </c>
      <c r="C22" s="85" t="s">
        <v>101</v>
      </c>
      <c r="D22" s="86">
        <v>500000</v>
      </c>
      <c r="E22" s="86">
        <v>2060000</v>
      </c>
      <c r="F22" s="87">
        <v>45327</v>
      </c>
      <c r="G22" s="88" t="s">
        <v>661</v>
      </c>
      <c r="H22" s="97">
        <v>1500</v>
      </c>
      <c r="I22" s="89">
        <v>3008</v>
      </c>
      <c r="J22" s="98"/>
      <c r="K22" s="90" t="s">
        <v>658</v>
      </c>
      <c r="L22" s="91">
        <v>231599</v>
      </c>
      <c r="M22" s="92"/>
      <c r="N22" s="93"/>
      <c r="O22" s="94">
        <f>MONTH(Energiatoodang!$F22)</f>
        <v>2</v>
      </c>
      <c r="P22" s="95">
        <f>YEAR(Energiatoodang!$F22)</f>
        <v>2024</v>
      </c>
      <c r="Q22" s="93"/>
      <c r="R22" s="94">
        <v>205097.09</v>
      </c>
      <c r="S22" s="96">
        <v>683656.96</v>
      </c>
      <c r="T22" s="94">
        <v>1500</v>
      </c>
      <c r="U22" s="94">
        <f>Energiatoodang!$R22/Energiatoodang!$T22</f>
        <v>136.73139333333333</v>
      </c>
      <c r="V22" s="96">
        <f>Energiatoodang!$S22/Energiatoodang!$T22</f>
        <v>455.77130666666665</v>
      </c>
      <c r="W22" s="94">
        <f>Energiatoodang!$T22</f>
        <v>1500</v>
      </c>
      <c r="X22" s="94">
        <f>Energiatoodang!$W22*25</f>
        <v>37500</v>
      </c>
      <c r="Y22" s="96">
        <f>Energiatoodang!$R22/Energiatoodang!$X22</f>
        <v>5.4692557333333331</v>
      </c>
      <c r="Z22" s="96"/>
      <c r="AA22" s="94">
        <f t="shared" si="5"/>
        <v>294902.91000000003</v>
      </c>
      <c r="AB22" s="94">
        <f t="shared" si="6"/>
        <v>1376343.04</v>
      </c>
      <c r="AC22" s="89">
        <v>3008</v>
      </c>
      <c r="AD22" s="94">
        <f t="shared" si="7"/>
        <v>98.03953125000001</v>
      </c>
      <c r="AE22" s="94">
        <f t="shared" si="4"/>
        <v>457.56085106382977</v>
      </c>
      <c r="AF22" s="94">
        <f>AC22*900/1000</f>
        <v>2707.2</v>
      </c>
      <c r="AG22" s="94">
        <f>AF22*25</f>
        <v>67680</v>
      </c>
      <c r="AH22" s="94"/>
      <c r="AI22" s="94">
        <f t="shared" si="0"/>
        <v>0</v>
      </c>
      <c r="AJ22" s="94">
        <f t="shared" si="1"/>
        <v>0</v>
      </c>
      <c r="AK22" s="94"/>
    </row>
    <row r="23" spans="1:37" x14ac:dyDescent="0.35">
      <c r="A23" s="84" t="s">
        <v>721</v>
      </c>
      <c r="B23" s="85" t="s">
        <v>93</v>
      </c>
      <c r="C23" s="85" t="s">
        <v>234</v>
      </c>
      <c r="D23" s="86">
        <v>177000</v>
      </c>
      <c r="E23" s="86">
        <v>885000</v>
      </c>
      <c r="F23" s="87">
        <v>45391</v>
      </c>
      <c r="G23" s="88" t="s">
        <v>661</v>
      </c>
      <c r="H23" s="89">
        <v>628</v>
      </c>
      <c r="I23" s="89" t="s">
        <v>663</v>
      </c>
      <c r="J23" s="89"/>
      <c r="K23" s="90" t="s">
        <v>658</v>
      </c>
      <c r="L23" s="91">
        <v>231599</v>
      </c>
      <c r="M23" s="92"/>
      <c r="N23" s="93"/>
      <c r="O23" s="94">
        <f>MONTH(Energiatoodang!$F23)</f>
        <v>4</v>
      </c>
      <c r="P23" s="95">
        <f>YEAR(Energiatoodang!$F23)</f>
        <v>2024</v>
      </c>
      <c r="Q23" s="93"/>
      <c r="R23" s="94">
        <v>55000</v>
      </c>
      <c r="S23" s="96">
        <v>275000</v>
      </c>
      <c r="T23" s="94">
        <v>628</v>
      </c>
      <c r="U23" s="94">
        <f>Energiatoodang!$R23/Energiatoodang!$T23</f>
        <v>87.579617834394909</v>
      </c>
      <c r="V23" s="96">
        <f>Energiatoodang!$S23/Energiatoodang!$T23</f>
        <v>437.8980891719745</v>
      </c>
      <c r="W23" s="94">
        <f>Energiatoodang!$T23</f>
        <v>628</v>
      </c>
      <c r="X23" s="94">
        <f>Energiatoodang!$W23*25</f>
        <v>15700</v>
      </c>
      <c r="Y23" s="96">
        <f>Energiatoodang!$R23/Energiatoodang!$X23</f>
        <v>3.5031847133757963</v>
      </c>
      <c r="Z23" s="96"/>
      <c r="AA23" s="94">
        <f t="shared" si="5"/>
        <v>122000</v>
      </c>
      <c r="AB23" s="94">
        <f t="shared" si="6"/>
        <v>610000</v>
      </c>
      <c r="AC23" s="89">
        <v>2150</v>
      </c>
      <c r="AD23" s="94">
        <f t="shared" si="7"/>
        <v>56.744186046511629</v>
      </c>
      <c r="AE23" s="94">
        <f>AB23/AC23</f>
        <v>283.72093023255815</v>
      </c>
      <c r="AF23" s="94">
        <f>AC23*900/1000</f>
        <v>1935</v>
      </c>
      <c r="AG23" s="94">
        <f>AF23*25</f>
        <v>48375</v>
      </c>
      <c r="AH23" s="94"/>
      <c r="AI23" s="94">
        <f t="shared" si="0"/>
        <v>0</v>
      </c>
      <c r="AJ23" s="94">
        <f t="shared" si="1"/>
        <v>0</v>
      </c>
      <c r="AK23" s="94"/>
    </row>
    <row r="24" spans="1:37" x14ac:dyDescent="0.35">
      <c r="A24" s="84" t="s">
        <v>722</v>
      </c>
      <c r="B24" s="85" t="s">
        <v>20</v>
      </c>
      <c r="C24" s="85" t="s">
        <v>47</v>
      </c>
      <c r="D24" s="86">
        <v>46500</v>
      </c>
      <c r="E24" s="86">
        <v>97000</v>
      </c>
      <c r="F24" s="87">
        <v>45436</v>
      </c>
      <c r="G24" s="88" t="s">
        <v>661</v>
      </c>
      <c r="H24" s="89">
        <v>65</v>
      </c>
      <c r="I24" s="89">
        <v>215</v>
      </c>
      <c r="J24" s="89"/>
      <c r="K24" s="90" t="s">
        <v>658</v>
      </c>
      <c r="L24" s="91">
        <v>231599</v>
      </c>
      <c r="M24" s="92"/>
      <c r="N24" s="93"/>
      <c r="O24" s="94">
        <f>MONTH(Energiatoodang!$F24)</f>
        <v>5</v>
      </c>
      <c r="P24" s="95">
        <f>YEAR(Energiatoodang!$F24)</f>
        <v>2024</v>
      </c>
      <c r="Q24" s="93"/>
      <c r="R24" s="94">
        <v>18500</v>
      </c>
      <c r="S24" s="96">
        <v>37000</v>
      </c>
      <c r="T24" s="94">
        <v>65</v>
      </c>
      <c r="U24" s="94">
        <f>Energiatoodang!$R24/Energiatoodang!$T24</f>
        <v>284.61538461538464</v>
      </c>
      <c r="V24" s="96">
        <f>Energiatoodang!$S24/Energiatoodang!$T24</f>
        <v>569.23076923076928</v>
      </c>
      <c r="W24" s="94">
        <f>Energiatoodang!$T24</f>
        <v>65</v>
      </c>
      <c r="X24" s="94">
        <f>Energiatoodang!$W24*25</f>
        <v>1625</v>
      </c>
      <c r="Y24" s="96">
        <f>Energiatoodang!$R24/Energiatoodang!$X24</f>
        <v>11.384615384615385</v>
      </c>
      <c r="Z24" s="96"/>
      <c r="AA24" s="94">
        <f t="shared" si="5"/>
        <v>28000</v>
      </c>
      <c r="AB24" s="94">
        <f t="shared" si="6"/>
        <v>60000</v>
      </c>
      <c r="AC24" s="89">
        <v>215</v>
      </c>
      <c r="AD24" s="94">
        <f t="shared" si="7"/>
        <v>130.23255813953489</v>
      </c>
      <c r="AE24" s="94">
        <f t="shared" si="4"/>
        <v>279.06976744186045</v>
      </c>
      <c r="AF24" s="94">
        <f>AC24*900/1000</f>
        <v>193.5</v>
      </c>
      <c r="AG24" s="94">
        <f>AF24*25</f>
        <v>4837.5</v>
      </c>
      <c r="AH24" s="94"/>
      <c r="AI24" s="94">
        <f t="shared" si="0"/>
        <v>0</v>
      </c>
      <c r="AJ24" s="94">
        <f t="shared" si="1"/>
        <v>0</v>
      </c>
      <c r="AK24" s="94"/>
    </row>
    <row r="25" spans="1:37" x14ac:dyDescent="0.35">
      <c r="A25" s="84" t="s">
        <v>723</v>
      </c>
      <c r="B25" s="85" t="s">
        <v>35</v>
      </c>
      <c r="C25" s="85" t="s">
        <v>552</v>
      </c>
      <c r="D25" s="86">
        <v>57000</v>
      </c>
      <c r="E25" s="86">
        <v>190000</v>
      </c>
      <c r="F25" s="87">
        <v>45449</v>
      </c>
      <c r="G25" s="88" t="s">
        <v>661</v>
      </c>
      <c r="H25" s="89">
        <v>285</v>
      </c>
      <c r="I25" s="89">
        <v>210</v>
      </c>
      <c r="J25" s="89"/>
      <c r="K25" s="90" t="s">
        <v>658</v>
      </c>
      <c r="L25" s="91">
        <v>231599</v>
      </c>
      <c r="M25" s="92"/>
      <c r="N25" s="93"/>
      <c r="O25" s="94">
        <f>MONTH(Energiatoodang!$F25)</f>
        <v>6</v>
      </c>
      <c r="P25" s="95">
        <f>YEAR(Energiatoodang!$F25)</f>
        <v>2024</v>
      </c>
      <c r="Q25" s="93"/>
      <c r="R25" s="94">
        <v>36600</v>
      </c>
      <c r="S25" s="96">
        <v>122000</v>
      </c>
      <c r="T25" s="94">
        <v>285</v>
      </c>
      <c r="U25" s="94">
        <f>Energiatoodang!$R25/Energiatoodang!$T25</f>
        <v>128.42105263157896</v>
      </c>
      <c r="V25" s="96">
        <f>Energiatoodang!$S25/Energiatoodang!$T25</f>
        <v>428.07017543859649</v>
      </c>
      <c r="W25" s="94">
        <f>Energiatoodang!$T25</f>
        <v>285</v>
      </c>
      <c r="X25" s="94">
        <f>Energiatoodang!$W25*25</f>
        <v>7125</v>
      </c>
      <c r="Y25" s="96">
        <f>Energiatoodang!$R25/Energiatoodang!$X25</f>
        <v>5.1368421052631579</v>
      </c>
      <c r="Z25" s="96"/>
      <c r="AA25" s="94">
        <f t="shared" si="5"/>
        <v>20400</v>
      </c>
      <c r="AB25" s="94">
        <f t="shared" si="6"/>
        <v>68000</v>
      </c>
      <c r="AC25" s="89">
        <v>210</v>
      </c>
      <c r="AD25" s="94">
        <f t="shared" si="7"/>
        <v>97.142857142857139</v>
      </c>
      <c r="AE25" s="94">
        <f t="shared" si="4"/>
        <v>323.8095238095238</v>
      </c>
      <c r="AF25" s="94">
        <f>AC25*900/1000</f>
        <v>189</v>
      </c>
      <c r="AG25" s="94">
        <f>AF25*25</f>
        <v>4725</v>
      </c>
      <c r="AH25" s="94"/>
      <c r="AI25" s="94">
        <f t="shared" si="0"/>
        <v>0</v>
      </c>
      <c r="AJ25" s="94">
        <f t="shared" si="1"/>
        <v>0</v>
      </c>
      <c r="AK25" s="94"/>
    </row>
    <row r="26" spans="1:37" x14ac:dyDescent="0.35">
      <c r="A26" s="84" t="s">
        <v>724</v>
      </c>
      <c r="B26" s="85" t="s">
        <v>20</v>
      </c>
      <c r="C26" s="85" t="s">
        <v>22</v>
      </c>
      <c r="D26" s="86">
        <v>27800</v>
      </c>
      <c r="E26" s="86">
        <v>69500</v>
      </c>
      <c r="F26" s="87">
        <v>45475</v>
      </c>
      <c r="G26" s="88" t="s">
        <v>661</v>
      </c>
      <c r="H26" s="89">
        <v>90.5</v>
      </c>
      <c r="I26" s="89">
        <v>81.599999999999994</v>
      </c>
      <c r="J26" s="89"/>
      <c r="K26" s="90" t="s">
        <v>660</v>
      </c>
      <c r="L26" s="91">
        <v>231540</v>
      </c>
      <c r="M26" s="92"/>
      <c r="N26" s="93"/>
      <c r="O26" s="94">
        <f>MONTH(Energiatoodang!$F26)</f>
        <v>7</v>
      </c>
      <c r="P26" s="95">
        <f>YEAR(Energiatoodang!$F26)</f>
        <v>2024</v>
      </c>
      <c r="Q26" s="93"/>
      <c r="R26" s="94">
        <v>18800</v>
      </c>
      <c r="S26" s="96">
        <v>47000</v>
      </c>
      <c r="T26" s="94">
        <v>90.5</v>
      </c>
      <c r="U26" s="94">
        <f>Energiatoodang!$R26/Energiatoodang!$T26</f>
        <v>207.73480662983425</v>
      </c>
      <c r="V26" s="96">
        <f>Energiatoodang!$S26/Energiatoodang!$T26</f>
        <v>519.33701657458562</v>
      </c>
      <c r="W26" s="94">
        <f>Energiatoodang!$T26</f>
        <v>90.5</v>
      </c>
      <c r="X26" s="94">
        <f>Energiatoodang!$W26*25</f>
        <v>2262.5</v>
      </c>
      <c r="Y26" s="96">
        <f>Energiatoodang!$R26/Energiatoodang!$X26</f>
        <v>8.3093922651933703</v>
      </c>
      <c r="Z26" s="96"/>
      <c r="AA26" s="94">
        <f t="shared" si="5"/>
        <v>9000</v>
      </c>
      <c r="AB26" s="94">
        <f t="shared" si="6"/>
        <v>22500</v>
      </c>
      <c r="AC26" s="89">
        <v>81.599999999999994</v>
      </c>
      <c r="AD26" s="94">
        <f t="shared" si="7"/>
        <v>110.29411764705883</v>
      </c>
      <c r="AE26" s="94">
        <f t="shared" si="4"/>
        <v>275.73529411764707</v>
      </c>
      <c r="AF26" s="94">
        <f>AC26*900/1000</f>
        <v>73.44</v>
      </c>
      <c r="AG26" s="94">
        <f>AF26*25</f>
        <v>1836</v>
      </c>
      <c r="AH26" s="94"/>
      <c r="AI26" s="94">
        <f t="shared" si="0"/>
        <v>0</v>
      </c>
      <c r="AJ26" s="94">
        <f t="shared" si="1"/>
        <v>0</v>
      </c>
      <c r="AK26" s="94"/>
    </row>
    <row r="27" spans="1:37" x14ac:dyDescent="0.35">
      <c r="A27" s="84" t="s">
        <v>725</v>
      </c>
      <c r="B27" s="85" t="s">
        <v>35</v>
      </c>
      <c r="C27" s="85" t="s">
        <v>212</v>
      </c>
      <c r="D27" s="86">
        <v>112000</v>
      </c>
      <c r="E27" s="86">
        <f>Energiatoodang!$D27/0.4</f>
        <v>280000</v>
      </c>
      <c r="F27" s="87">
        <v>45551</v>
      </c>
      <c r="G27" s="88" t="s">
        <v>661</v>
      </c>
      <c r="H27" s="89">
        <v>115</v>
      </c>
      <c r="I27" s="89">
        <v>300</v>
      </c>
      <c r="J27" s="89"/>
      <c r="K27" s="90" t="s">
        <v>660</v>
      </c>
      <c r="L27" s="91">
        <v>231540</v>
      </c>
      <c r="M27" s="92"/>
      <c r="N27" s="93"/>
      <c r="O27" s="94">
        <f>MONTH(Energiatoodang!$F27)</f>
        <v>9</v>
      </c>
      <c r="P27" s="95">
        <f>YEAR(Energiatoodang!$F27)</f>
        <v>2024</v>
      </c>
      <c r="Q27" s="93"/>
      <c r="R27" s="94">
        <v>52000</v>
      </c>
      <c r="S27" s="96">
        <v>130000</v>
      </c>
      <c r="T27" s="94">
        <v>115</v>
      </c>
      <c r="U27" s="94">
        <f>Energiatoodang!$R27/Energiatoodang!$T27</f>
        <v>452.17391304347825</v>
      </c>
      <c r="V27" s="96">
        <f>Energiatoodang!$S27/Energiatoodang!$T27</f>
        <v>1130.4347826086957</v>
      </c>
      <c r="W27" s="94">
        <f>Energiatoodang!$T27</f>
        <v>115</v>
      </c>
      <c r="X27" s="94">
        <f>Energiatoodang!$W27*25</f>
        <v>2875</v>
      </c>
      <c r="Y27" s="96">
        <f>Energiatoodang!$R27/Energiatoodang!$X27</f>
        <v>18.086956521739129</v>
      </c>
      <c r="Z27" s="96"/>
      <c r="AA27" s="94">
        <f t="shared" si="5"/>
        <v>60000</v>
      </c>
      <c r="AB27" s="94">
        <f>E27-S27</f>
        <v>150000</v>
      </c>
      <c r="AC27" s="89">
        <v>300</v>
      </c>
      <c r="AD27" s="94">
        <f t="shared" si="7"/>
        <v>200</v>
      </c>
      <c r="AE27" s="94">
        <f t="shared" si="4"/>
        <v>500</v>
      </c>
      <c r="AF27" s="94">
        <f>AC27*900/1000</f>
        <v>270</v>
      </c>
      <c r="AG27" s="94">
        <f>AF27*25</f>
        <v>6750</v>
      </c>
      <c r="AH27" s="94"/>
      <c r="AI27" s="94">
        <f t="shared" si="0"/>
        <v>0</v>
      </c>
      <c r="AJ27" s="94">
        <f t="shared" si="1"/>
        <v>0</v>
      </c>
      <c r="AK27" s="94"/>
    </row>
    <row r="28" spans="1:37" x14ac:dyDescent="0.35">
      <c r="A28" s="84" t="s">
        <v>726</v>
      </c>
      <c r="B28" s="85" t="s">
        <v>35</v>
      </c>
      <c r="C28" s="85" t="s">
        <v>84</v>
      </c>
      <c r="D28" s="86">
        <v>229800</v>
      </c>
      <c r="E28" s="86">
        <v>282000</v>
      </c>
      <c r="F28" s="87">
        <v>45784</v>
      </c>
      <c r="G28" s="88" t="s">
        <v>661</v>
      </c>
      <c r="H28" s="89">
        <v>170</v>
      </c>
      <c r="I28" s="89">
        <v>215</v>
      </c>
      <c r="J28" s="89"/>
      <c r="K28" s="90" t="s">
        <v>660</v>
      </c>
      <c r="L28" s="91">
        <v>231541</v>
      </c>
      <c r="M28" s="92"/>
      <c r="N28" s="93"/>
      <c r="O28" s="94">
        <f>MONTH(Energiatoodang!$F28)</f>
        <v>5</v>
      </c>
      <c r="P28" s="95">
        <f>YEAR(Energiatoodang!$F28)</f>
        <v>2025</v>
      </c>
      <c r="Q28" s="93"/>
      <c r="R28" s="94">
        <v>46800</v>
      </c>
      <c r="S28" s="96">
        <v>78000</v>
      </c>
      <c r="T28" s="94">
        <f>Energiatoodang!$H28</f>
        <v>170</v>
      </c>
      <c r="U28" s="94">
        <f>Energiatoodang!$R28/Energiatoodang!$T28</f>
        <v>275.29411764705884</v>
      </c>
      <c r="V28" s="96">
        <f>Energiatoodang!$S28/Energiatoodang!$T28</f>
        <v>458.8235294117647</v>
      </c>
      <c r="W28" s="94">
        <f>Energiatoodang!$T28</f>
        <v>170</v>
      </c>
      <c r="X28" s="94">
        <f>Energiatoodang!$W28*25</f>
        <v>4250</v>
      </c>
      <c r="Y28" s="96">
        <f>Energiatoodang!$R28/Energiatoodang!$X28</f>
        <v>11.011764705882353</v>
      </c>
      <c r="Z28" s="96"/>
      <c r="AA28" s="94">
        <f t="shared" si="5"/>
        <v>183000</v>
      </c>
      <c r="AB28" s="94">
        <f t="shared" si="6"/>
        <v>204000</v>
      </c>
      <c r="AC28" s="89">
        <v>215</v>
      </c>
      <c r="AD28" s="94">
        <f t="shared" si="7"/>
        <v>851.16279069767438</v>
      </c>
      <c r="AE28" s="94">
        <f t="shared" si="4"/>
        <v>948.83720930232562</v>
      </c>
      <c r="AF28" s="94">
        <f>AC28*900/1000</f>
        <v>193.5</v>
      </c>
      <c r="AG28" s="94">
        <f>AF28*25</f>
        <v>4837.5</v>
      </c>
      <c r="AH28" s="94"/>
      <c r="AI28" s="94">
        <f t="shared" si="0"/>
        <v>0</v>
      </c>
      <c r="AJ28" s="94">
        <f t="shared" si="1"/>
        <v>0</v>
      </c>
      <c r="AK28" s="94"/>
    </row>
    <row r="29" spans="1:37" x14ac:dyDescent="0.35">
      <c r="A29" s="84" t="s">
        <v>727</v>
      </c>
      <c r="B29" s="85" t="s">
        <v>35</v>
      </c>
      <c r="C29" s="85" t="s">
        <v>47</v>
      </c>
      <c r="D29" s="86">
        <v>500000</v>
      </c>
      <c r="E29" s="86">
        <v>1250000</v>
      </c>
      <c r="F29" s="87">
        <v>45233</v>
      </c>
      <c r="G29" s="88" t="s">
        <v>692</v>
      </c>
      <c r="H29" s="97"/>
      <c r="I29" s="89">
        <v>3500</v>
      </c>
      <c r="J29" s="98"/>
      <c r="K29" s="90" t="s">
        <v>658</v>
      </c>
      <c r="L29" s="91">
        <v>231574</v>
      </c>
      <c r="M29" s="92"/>
      <c r="N29" s="93"/>
      <c r="O29" s="94">
        <f>MONTH(Energiatoodang!$F29)</f>
        <v>11</v>
      </c>
      <c r="P29" s="95">
        <f>YEAR(Energiatoodang!$F29)</f>
        <v>2023</v>
      </c>
      <c r="Q29" s="93"/>
      <c r="R29" s="94"/>
      <c r="S29" s="96"/>
      <c r="T29" s="94"/>
      <c r="U29" s="94"/>
      <c r="V29" s="96"/>
      <c r="W29" s="94"/>
      <c r="X29" s="94"/>
      <c r="Y29" s="96"/>
      <c r="Z29" s="96"/>
      <c r="AA29" s="94">
        <v>500000</v>
      </c>
      <c r="AB29" s="94">
        <v>1250000</v>
      </c>
      <c r="AC29" s="89">
        <f>4092+372</f>
        <v>4464</v>
      </c>
      <c r="AD29" s="94">
        <f t="shared" si="7"/>
        <v>112.00716845878136</v>
      </c>
      <c r="AE29" s="94">
        <f t="shared" si="4"/>
        <v>280.01792114695343</v>
      </c>
      <c r="AF29" s="94">
        <f>AC29*900/1000</f>
        <v>4017.6</v>
      </c>
      <c r="AG29" s="94">
        <f>AF29*25</f>
        <v>100440</v>
      </c>
      <c r="AH29" s="94"/>
      <c r="AI29" s="94">
        <f t="shared" si="0"/>
        <v>0</v>
      </c>
      <c r="AJ29" s="94">
        <f t="shared" si="1"/>
        <v>0</v>
      </c>
      <c r="AK29" s="94"/>
    </row>
    <row r="30" spans="1:37" x14ac:dyDescent="0.35">
      <c r="A30" s="84" t="s">
        <v>728</v>
      </c>
      <c r="B30" s="85" t="s">
        <v>20</v>
      </c>
      <c r="C30" s="85" t="s">
        <v>22</v>
      </c>
      <c r="D30" s="86">
        <v>112750</v>
      </c>
      <c r="E30" s="86">
        <v>225500</v>
      </c>
      <c r="F30" s="87">
        <v>45280</v>
      </c>
      <c r="G30" s="88" t="s">
        <v>692</v>
      </c>
      <c r="H30" s="97">
        <v>200</v>
      </c>
      <c r="I30" s="89"/>
      <c r="J30" s="98"/>
      <c r="K30" s="90" t="s">
        <v>658</v>
      </c>
      <c r="L30" s="91">
        <v>231574</v>
      </c>
      <c r="M30" s="92"/>
      <c r="N30" s="93"/>
      <c r="O30" s="94">
        <f>MONTH(Energiatoodang!$F30)</f>
        <v>12</v>
      </c>
      <c r="P30" s="95">
        <f>YEAR(Energiatoodang!$F30)</f>
        <v>2023</v>
      </c>
      <c r="Q30" s="93"/>
      <c r="R30" s="94"/>
      <c r="S30" s="96"/>
      <c r="T30" s="94"/>
      <c r="U30" s="94"/>
      <c r="V30" s="96"/>
      <c r="W30" s="94"/>
      <c r="X30" s="94"/>
      <c r="Y30" s="96"/>
      <c r="Z30" s="96"/>
      <c r="AA30" s="94">
        <v>112750</v>
      </c>
      <c r="AB30" s="94">
        <v>225500</v>
      </c>
      <c r="AC30" s="89">
        <v>860</v>
      </c>
      <c r="AD30" s="94">
        <f t="shared" si="7"/>
        <v>131.1046511627907</v>
      </c>
      <c r="AE30" s="94">
        <f t="shared" si="4"/>
        <v>262.2093023255814</v>
      </c>
      <c r="AF30" s="94">
        <f>AC30*900/1000</f>
        <v>774</v>
      </c>
      <c r="AG30" s="94">
        <f>AF30*25</f>
        <v>19350</v>
      </c>
      <c r="AH30" s="94"/>
      <c r="AI30" s="94">
        <f t="shared" si="0"/>
        <v>0</v>
      </c>
      <c r="AJ30" s="94">
        <f t="shared" si="1"/>
        <v>0</v>
      </c>
      <c r="AK30" s="94"/>
    </row>
    <row r="31" spans="1:37" x14ac:dyDescent="0.35">
      <c r="A31" s="84" t="s">
        <v>729</v>
      </c>
      <c r="B31" s="85" t="s">
        <v>35</v>
      </c>
      <c r="C31" s="85" t="s">
        <v>554</v>
      </c>
      <c r="D31" s="86">
        <v>274000</v>
      </c>
      <c r="E31" s="86">
        <v>685000</v>
      </c>
      <c r="F31" s="87">
        <v>45327</v>
      </c>
      <c r="G31" s="88" t="s">
        <v>693</v>
      </c>
      <c r="H31" s="97"/>
      <c r="I31" s="89">
        <v>1165</v>
      </c>
      <c r="J31" s="98">
        <v>2</v>
      </c>
      <c r="K31" s="90" t="s">
        <v>658</v>
      </c>
      <c r="L31" s="91">
        <v>231599</v>
      </c>
      <c r="M31" s="92"/>
      <c r="N31" s="93"/>
      <c r="O31" s="94">
        <f>MONTH(Energiatoodang!$F31)</f>
        <v>2</v>
      </c>
      <c r="P31" s="95">
        <f>YEAR(Energiatoodang!$F31)</f>
        <v>2024</v>
      </c>
      <c r="Q31" s="93"/>
      <c r="R31" s="94"/>
      <c r="S31" s="96"/>
      <c r="T31" s="94"/>
      <c r="U31" s="94"/>
      <c r="V31" s="96"/>
      <c r="W31" s="94"/>
      <c r="X31" s="94"/>
      <c r="Y31" s="96"/>
      <c r="Z31" s="96"/>
      <c r="AA31" s="94">
        <f>Energiatoodang!$AB31*0.4</f>
        <v>200000</v>
      </c>
      <c r="AB31" s="94">
        <v>500000</v>
      </c>
      <c r="AC31" s="89">
        <v>1165</v>
      </c>
      <c r="AD31" s="94">
        <f t="shared" si="7"/>
        <v>171.67381974248926</v>
      </c>
      <c r="AE31" s="94">
        <f t="shared" si="4"/>
        <v>429.18454935622316</v>
      </c>
      <c r="AF31" s="94">
        <f>AC31*900/1000</f>
        <v>1048.5</v>
      </c>
      <c r="AG31" s="94">
        <f>AF31*25</f>
        <v>26212.5</v>
      </c>
      <c r="AH31" s="94"/>
      <c r="AI31" s="94">
        <f>D31-R31-AA31</f>
        <v>74000</v>
      </c>
      <c r="AJ31" s="94">
        <f t="shared" si="1"/>
        <v>185000</v>
      </c>
      <c r="AK31" s="94"/>
    </row>
    <row r="32" spans="1:37" x14ac:dyDescent="0.35">
      <c r="A32" s="84" t="s">
        <v>730</v>
      </c>
      <c r="B32" s="85" t="s">
        <v>35</v>
      </c>
      <c r="C32" s="85" t="s">
        <v>101</v>
      </c>
      <c r="D32" s="86">
        <v>500000</v>
      </c>
      <c r="E32" s="86">
        <v>1270000</v>
      </c>
      <c r="F32" s="87">
        <v>45391</v>
      </c>
      <c r="G32" s="88" t="s">
        <v>692</v>
      </c>
      <c r="H32" s="97"/>
      <c r="I32" s="89">
        <v>5580</v>
      </c>
      <c r="J32" s="98"/>
      <c r="K32" s="90" t="s">
        <v>658</v>
      </c>
      <c r="L32" s="91">
        <v>231599</v>
      </c>
      <c r="M32" s="92"/>
      <c r="N32" s="93"/>
      <c r="O32" s="94">
        <f>MONTH(Energiatoodang!$F32)</f>
        <v>4</v>
      </c>
      <c r="P32" s="95">
        <f>YEAR(Energiatoodang!$F32)</f>
        <v>2024</v>
      </c>
      <c r="Q32" s="93"/>
      <c r="R32" s="94"/>
      <c r="S32" s="96"/>
      <c r="T32" s="94"/>
      <c r="U32" s="94"/>
      <c r="V32" s="96"/>
      <c r="W32" s="94"/>
      <c r="X32" s="94"/>
      <c r="Y32" s="96"/>
      <c r="Z32" s="96"/>
      <c r="AA32" s="94">
        <v>500000</v>
      </c>
      <c r="AB32" s="94">
        <v>1270000</v>
      </c>
      <c r="AC32" s="89">
        <v>5580</v>
      </c>
      <c r="AD32" s="94">
        <f t="shared" si="7"/>
        <v>89.605734767025083</v>
      </c>
      <c r="AE32" s="94">
        <f t="shared" si="4"/>
        <v>227.59856630824373</v>
      </c>
      <c r="AF32" s="94">
        <f>AC32*900/1000</f>
        <v>5022</v>
      </c>
      <c r="AG32" s="94">
        <f>AF32*25</f>
        <v>125550</v>
      </c>
      <c r="AH32" s="94"/>
      <c r="AI32" s="94">
        <f t="shared" si="0"/>
        <v>0</v>
      </c>
      <c r="AJ32" s="94">
        <f t="shared" si="1"/>
        <v>0</v>
      </c>
      <c r="AK32" s="94"/>
    </row>
    <row r="33" spans="1:37" x14ac:dyDescent="0.35">
      <c r="A33" s="84" t="s">
        <v>731</v>
      </c>
      <c r="B33" s="85" t="s">
        <v>93</v>
      </c>
      <c r="C33" s="85" t="s">
        <v>47</v>
      </c>
      <c r="D33" s="86">
        <v>500000</v>
      </c>
      <c r="E33" s="86">
        <v>1666666.67</v>
      </c>
      <c r="F33" s="87">
        <v>45412</v>
      </c>
      <c r="G33" s="88" t="s">
        <v>692</v>
      </c>
      <c r="H33" s="97"/>
      <c r="I33" s="89">
        <v>7454</v>
      </c>
      <c r="J33" s="98"/>
      <c r="K33" s="90" t="s">
        <v>658</v>
      </c>
      <c r="L33" s="91">
        <v>231599</v>
      </c>
      <c r="M33" s="92"/>
      <c r="N33" s="93"/>
      <c r="O33" s="94">
        <f>MONTH(Energiatoodang!$F33)</f>
        <v>4</v>
      </c>
      <c r="P33" s="95">
        <f>YEAR(Energiatoodang!$F33)</f>
        <v>2024</v>
      </c>
      <c r="Q33" s="93"/>
      <c r="R33" s="94"/>
      <c r="S33" s="96"/>
      <c r="T33" s="94"/>
      <c r="U33" s="94"/>
      <c r="V33" s="96"/>
      <c r="W33" s="94"/>
      <c r="X33" s="94"/>
      <c r="Y33" s="96"/>
      <c r="Z33" s="96"/>
      <c r="AA33" s="94">
        <v>500000</v>
      </c>
      <c r="AB33" s="94">
        <v>1666666.67</v>
      </c>
      <c r="AC33" s="89">
        <v>7454</v>
      </c>
      <c r="AD33" s="94">
        <f>AA33/AC33</f>
        <v>67.078078883820766</v>
      </c>
      <c r="AE33" s="94">
        <f>AB33/AC33</f>
        <v>223.59359672658974</v>
      </c>
      <c r="AF33" s="94">
        <f>AC33*900/1000</f>
        <v>6708.6</v>
      </c>
      <c r="AG33" s="94">
        <f>AF33*25</f>
        <v>167715</v>
      </c>
      <c r="AH33" s="94"/>
      <c r="AI33" s="94">
        <f t="shared" si="0"/>
        <v>0</v>
      </c>
      <c r="AJ33" s="94">
        <f t="shared" si="1"/>
        <v>0</v>
      </c>
      <c r="AK33" s="94"/>
    </row>
    <row r="34" spans="1:37" x14ac:dyDescent="0.35">
      <c r="A34" s="107" t="s">
        <v>751</v>
      </c>
      <c r="B34" s="108" t="s">
        <v>93</v>
      </c>
      <c r="C34" s="108" t="s">
        <v>47</v>
      </c>
      <c r="D34" s="109">
        <v>72000</v>
      </c>
      <c r="E34" s="109">
        <v>240000</v>
      </c>
      <c r="F34" s="87">
        <v>45176</v>
      </c>
      <c r="G34" s="110" t="s">
        <v>748</v>
      </c>
      <c r="H34" s="111"/>
      <c r="I34" s="89"/>
      <c r="J34" s="98">
        <v>2</v>
      </c>
      <c r="K34" s="90" t="s">
        <v>660</v>
      </c>
      <c r="L34" s="112">
        <v>231540</v>
      </c>
      <c r="M34" s="106"/>
      <c r="N34" s="93"/>
      <c r="O34" s="94">
        <v>9</v>
      </c>
      <c r="P34" s="95">
        <v>2023</v>
      </c>
      <c r="Q34" s="93"/>
      <c r="R34" s="94"/>
      <c r="S34" s="96"/>
      <c r="T34" s="94"/>
      <c r="U34" s="94"/>
      <c r="V34" s="96"/>
      <c r="W34" s="94"/>
      <c r="X34" s="94"/>
      <c r="Y34" s="96"/>
      <c r="Z34" s="96"/>
      <c r="AA34" s="94"/>
      <c r="AB34" s="94"/>
      <c r="AC34" s="89"/>
      <c r="AD34" s="94"/>
      <c r="AE34" s="94"/>
      <c r="AF34" s="94"/>
      <c r="AG34" s="94"/>
      <c r="AH34" s="94"/>
      <c r="AI34" s="94">
        <f>D34</f>
        <v>72000</v>
      </c>
      <c r="AJ34" s="94">
        <f>E34</f>
        <v>240000</v>
      </c>
      <c r="AK34" s="94"/>
    </row>
    <row r="35" spans="1:37" x14ac:dyDescent="0.35">
      <c r="A35" s="107" t="s">
        <v>752</v>
      </c>
      <c r="B35" s="108" t="s">
        <v>93</v>
      </c>
      <c r="C35" s="108" t="s">
        <v>47</v>
      </c>
      <c r="D35" s="109">
        <v>217500</v>
      </c>
      <c r="E35" s="109">
        <v>725000</v>
      </c>
      <c r="F35" s="87">
        <v>45233</v>
      </c>
      <c r="G35" s="110" t="s">
        <v>749</v>
      </c>
      <c r="H35" s="111"/>
      <c r="I35" s="89"/>
      <c r="J35" s="98">
        <v>6</v>
      </c>
      <c r="K35" s="90" t="s">
        <v>658</v>
      </c>
      <c r="L35" s="112">
        <v>231574</v>
      </c>
      <c r="M35" s="106"/>
      <c r="N35" s="93"/>
      <c r="O35" s="94">
        <v>11</v>
      </c>
      <c r="P35" s="95">
        <v>2023</v>
      </c>
      <c r="Q35" s="93"/>
      <c r="R35" s="94"/>
      <c r="S35" s="96"/>
      <c r="T35" s="94"/>
      <c r="U35" s="94"/>
      <c r="V35" s="96"/>
      <c r="W35" s="94"/>
      <c r="X35" s="94"/>
      <c r="Y35" s="96"/>
      <c r="Z35" s="96"/>
      <c r="AA35" s="94"/>
      <c r="AB35" s="94"/>
      <c r="AC35" s="89"/>
      <c r="AD35" s="94"/>
      <c r="AE35" s="94"/>
      <c r="AF35" s="94"/>
      <c r="AG35" s="94"/>
      <c r="AH35" s="94"/>
      <c r="AI35" s="94">
        <f>D35</f>
        <v>217500</v>
      </c>
      <c r="AJ35" s="94">
        <f>E35</f>
        <v>725000</v>
      </c>
      <c r="AK35" s="94"/>
    </row>
    <row r="36" spans="1:37" x14ac:dyDescent="0.35">
      <c r="A36" s="107" t="s">
        <v>753</v>
      </c>
      <c r="B36" s="108" t="s">
        <v>20</v>
      </c>
      <c r="C36" s="108" t="s">
        <v>47</v>
      </c>
      <c r="D36" s="109">
        <v>27500</v>
      </c>
      <c r="E36" s="109">
        <v>55000</v>
      </c>
      <c r="F36" s="87">
        <v>45233</v>
      </c>
      <c r="G36" s="110" t="s">
        <v>749</v>
      </c>
      <c r="H36" s="111"/>
      <c r="I36" s="89"/>
      <c r="J36" s="98">
        <v>1</v>
      </c>
      <c r="K36" s="90" t="s">
        <v>660</v>
      </c>
      <c r="L36" s="112">
        <v>231540</v>
      </c>
      <c r="M36" s="106"/>
      <c r="N36" s="93"/>
      <c r="O36" s="94">
        <v>11</v>
      </c>
      <c r="P36" s="95">
        <v>2023</v>
      </c>
      <c r="Q36" s="93"/>
      <c r="R36" s="94"/>
      <c r="S36" s="96"/>
      <c r="T36" s="94"/>
      <c r="U36" s="94"/>
      <c r="V36" s="96"/>
      <c r="W36" s="94"/>
      <c r="X36" s="94"/>
      <c r="Y36" s="96"/>
      <c r="Z36" s="96"/>
      <c r="AA36" s="94"/>
      <c r="AB36" s="94"/>
      <c r="AC36" s="89"/>
      <c r="AD36" s="94"/>
      <c r="AE36" s="94"/>
      <c r="AF36" s="94"/>
      <c r="AG36" s="94"/>
      <c r="AH36" s="94"/>
      <c r="AI36" s="94">
        <f>D36</f>
        <v>27500</v>
      </c>
      <c r="AJ36" s="94">
        <f>E36</f>
        <v>55000</v>
      </c>
      <c r="AK36" s="94"/>
    </row>
    <row r="37" spans="1:37" x14ac:dyDescent="0.35">
      <c r="A37" s="107" t="s">
        <v>754</v>
      </c>
      <c r="B37" s="108" t="s">
        <v>35</v>
      </c>
      <c r="C37" s="108" t="s">
        <v>22</v>
      </c>
      <c r="D37" s="109">
        <v>222000</v>
      </c>
      <c r="E37" s="109">
        <v>555000</v>
      </c>
      <c r="F37" s="87">
        <v>45322</v>
      </c>
      <c r="G37" s="110" t="s">
        <v>750</v>
      </c>
      <c r="H37" s="111"/>
      <c r="I37" s="89"/>
      <c r="J37" s="98">
        <v>2</v>
      </c>
      <c r="K37" s="90" t="s">
        <v>658</v>
      </c>
      <c r="L37" s="112">
        <v>231574</v>
      </c>
      <c r="M37" s="106"/>
      <c r="N37" s="93"/>
      <c r="O37" s="94">
        <v>1</v>
      </c>
      <c r="P37" s="95">
        <v>2024</v>
      </c>
      <c r="Q37" s="93"/>
      <c r="R37" s="94"/>
      <c r="S37" s="96"/>
      <c r="T37" s="94"/>
      <c r="U37" s="94"/>
      <c r="V37" s="96"/>
      <c r="W37" s="94"/>
      <c r="X37" s="94"/>
      <c r="Y37" s="96"/>
      <c r="Z37" s="96"/>
      <c r="AA37" s="94"/>
      <c r="AB37" s="94"/>
      <c r="AC37" s="89"/>
      <c r="AD37" s="94"/>
      <c r="AE37" s="94"/>
      <c r="AF37" s="94"/>
      <c r="AG37" s="94"/>
      <c r="AH37" s="94"/>
      <c r="AI37" s="94">
        <f>D37</f>
        <v>222000</v>
      </c>
      <c r="AJ37" s="94">
        <f>E37</f>
        <v>555000</v>
      </c>
      <c r="AK37" s="94"/>
    </row>
    <row r="38" spans="1:37" x14ac:dyDescent="0.35">
      <c r="A38" s="107" t="s">
        <v>755</v>
      </c>
      <c r="B38" s="108" t="s">
        <v>93</v>
      </c>
      <c r="C38" s="108" t="s">
        <v>47</v>
      </c>
      <c r="D38" s="109">
        <v>13500</v>
      </c>
      <c r="E38" s="109">
        <v>45000</v>
      </c>
      <c r="F38" s="87">
        <v>45398</v>
      </c>
      <c r="G38" s="110" t="s">
        <v>749</v>
      </c>
      <c r="H38" s="111"/>
      <c r="I38" s="89"/>
      <c r="J38" s="98">
        <v>1</v>
      </c>
      <c r="K38" s="90" t="s">
        <v>658</v>
      </c>
      <c r="L38" s="112">
        <v>231598</v>
      </c>
      <c r="M38" s="106"/>
      <c r="N38" s="93"/>
      <c r="O38" s="94">
        <v>4</v>
      </c>
      <c r="P38" s="95">
        <v>2024</v>
      </c>
      <c r="Q38" s="93"/>
      <c r="R38" s="94"/>
      <c r="S38" s="96"/>
      <c r="T38" s="94"/>
      <c r="U38" s="94"/>
      <c r="V38" s="96"/>
      <c r="W38" s="94"/>
      <c r="X38" s="94"/>
      <c r="Y38" s="96"/>
      <c r="Z38" s="96"/>
      <c r="AA38" s="94"/>
      <c r="AB38" s="94"/>
      <c r="AC38" s="89"/>
      <c r="AD38" s="94"/>
      <c r="AE38" s="94"/>
      <c r="AF38" s="94"/>
      <c r="AG38" s="94"/>
      <c r="AH38" s="94"/>
      <c r="AI38" s="94">
        <f>D38</f>
        <v>13500</v>
      </c>
      <c r="AJ38" s="94">
        <f>E38</f>
        <v>45000</v>
      </c>
      <c r="AK38" s="94"/>
    </row>
    <row r="39" spans="1:37" x14ac:dyDescent="0.35">
      <c r="A39" s="107" t="s">
        <v>756</v>
      </c>
      <c r="B39" s="108" t="s">
        <v>35</v>
      </c>
      <c r="C39" s="108" t="s">
        <v>553</v>
      </c>
      <c r="D39" s="109">
        <v>140000</v>
      </c>
      <c r="E39" s="109">
        <v>350000</v>
      </c>
      <c r="F39" s="87">
        <v>45399</v>
      </c>
      <c r="G39" s="110" t="s">
        <v>749</v>
      </c>
      <c r="H39" s="111"/>
      <c r="I39" s="89"/>
      <c r="J39" s="98">
        <v>7</v>
      </c>
      <c r="K39" s="90" t="s">
        <v>658</v>
      </c>
      <c r="L39" s="112">
        <v>231599</v>
      </c>
      <c r="M39" s="106"/>
      <c r="N39" s="93"/>
      <c r="O39" s="94">
        <v>4</v>
      </c>
      <c r="P39" s="95">
        <v>2024</v>
      </c>
      <c r="Q39" s="93"/>
      <c r="R39" s="94"/>
      <c r="S39" s="96"/>
      <c r="T39" s="94"/>
      <c r="U39" s="94"/>
      <c r="V39" s="96"/>
      <c r="W39" s="94"/>
      <c r="X39" s="94"/>
      <c r="Y39" s="96"/>
      <c r="Z39" s="96"/>
      <c r="AA39" s="94"/>
      <c r="AB39" s="94"/>
      <c r="AC39" s="89"/>
      <c r="AD39" s="94"/>
      <c r="AE39" s="94"/>
      <c r="AF39" s="94"/>
      <c r="AG39" s="94"/>
      <c r="AH39" s="94"/>
      <c r="AI39" s="94">
        <f>D39</f>
        <v>140000</v>
      </c>
      <c r="AJ39" s="94">
        <f>E39</f>
        <v>350000</v>
      </c>
      <c r="AK39" s="94"/>
    </row>
    <row r="40" spans="1:37" x14ac:dyDescent="0.35">
      <c r="A40" s="107" t="s">
        <v>757</v>
      </c>
      <c r="B40" s="108" t="s">
        <v>35</v>
      </c>
      <c r="C40" s="108" t="s">
        <v>47</v>
      </c>
      <c r="D40" s="109">
        <v>150000</v>
      </c>
      <c r="E40" s="109">
        <v>375000</v>
      </c>
      <c r="F40" s="87">
        <v>45457</v>
      </c>
      <c r="G40" s="110" t="s">
        <v>749</v>
      </c>
      <c r="H40" s="111"/>
      <c r="I40" s="89"/>
      <c r="J40" s="98">
        <v>5</v>
      </c>
      <c r="K40" s="90" t="s">
        <v>658</v>
      </c>
      <c r="L40" s="112">
        <v>231599</v>
      </c>
      <c r="M40" s="106"/>
      <c r="N40" s="93"/>
      <c r="O40" s="94">
        <v>6</v>
      </c>
      <c r="P40" s="95">
        <v>2024</v>
      </c>
      <c r="Q40" s="93"/>
      <c r="R40" s="94"/>
      <c r="S40" s="96"/>
      <c r="T40" s="94"/>
      <c r="U40" s="94"/>
      <c r="V40" s="96"/>
      <c r="W40" s="94"/>
      <c r="X40" s="94"/>
      <c r="Y40" s="96"/>
      <c r="Z40" s="96"/>
      <c r="AA40" s="94"/>
      <c r="AB40" s="94"/>
      <c r="AC40" s="89"/>
      <c r="AD40" s="94"/>
      <c r="AE40" s="94"/>
      <c r="AF40" s="94"/>
      <c r="AG40" s="94"/>
      <c r="AH40" s="94"/>
      <c r="AI40" s="94">
        <f>D40</f>
        <v>150000</v>
      </c>
      <c r="AJ40" s="94">
        <f>E40</f>
        <v>375000</v>
      </c>
      <c r="AK40" s="94"/>
    </row>
    <row r="41" spans="1:37" x14ac:dyDescent="0.35">
      <c r="A41" s="107" t="s">
        <v>758</v>
      </c>
      <c r="B41" s="108" t="s">
        <v>20</v>
      </c>
      <c r="C41" s="108" t="s">
        <v>22</v>
      </c>
      <c r="D41" s="109">
        <v>15600</v>
      </c>
      <c r="E41" s="109">
        <v>26000</v>
      </c>
      <c r="F41" s="87">
        <v>45735</v>
      </c>
      <c r="G41" s="110" t="s">
        <v>749</v>
      </c>
      <c r="H41" s="111"/>
      <c r="I41" s="89"/>
      <c r="J41" s="98">
        <v>1</v>
      </c>
      <c r="K41" s="90" t="s">
        <v>660</v>
      </c>
      <c r="L41" s="112">
        <v>231540</v>
      </c>
      <c r="M41" s="106"/>
      <c r="N41" s="93"/>
      <c r="O41" s="94">
        <v>3</v>
      </c>
      <c r="P41" s="95">
        <v>2025</v>
      </c>
      <c r="Q41" s="93"/>
      <c r="R41" s="94"/>
      <c r="S41" s="96"/>
      <c r="T41" s="94"/>
      <c r="U41" s="94"/>
      <c r="V41" s="96"/>
      <c r="W41" s="94"/>
      <c r="X41" s="94"/>
      <c r="Y41" s="96"/>
      <c r="Z41" s="96"/>
      <c r="AA41" s="94"/>
      <c r="AB41" s="94"/>
      <c r="AC41" s="89"/>
      <c r="AD41" s="94"/>
      <c r="AE41" s="94"/>
      <c r="AF41" s="94"/>
      <c r="AG41" s="94"/>
      <c r="AH41" s="94"/>
      <c r="AI41" s="94">
        <f>D41</f>
        <v>15600</v>
      </c>
      <c r="AJ41" s="94">
        <f>E41</f>
        <v>26000</v>
      </c>
      <c r="AK41" s="94"/>
    </row>
    <row r="42" spans="1:37" x14ac:dyDescent="0.35">
      <c r="A42" s="107" t="s">
        <v>759</v>
      </c>
      <c r="B42" s="108" t="s">
        <v>35</v>
      </c>
      <c r="C42" s="108" t="s">
        <v>115</v>
      </c>
      <c r="D42" s="109">
        <v>73900</v>
      </c>
      <c r="E42" s="109">
        <v>142000</v>
      </c>
      <c r="F42" s="87">
        <v>45736</v>
      </c>
      <c r="G42" s="110" t="s">
        <v>748</v>
      </c>
      <c r="H42" s="111"/>
      <c r="I42" s="89"/>
      <c r="J42" s="98">
        <v>4</v>
      </c>
      <c r="K42" s="90" t="s">
        <v>660</v>
      </c>
      <c r="L42" s="112">
        <v>231540</v>
      </c>
      <c r="M42" s="106"/>
      <c r="N42" s="112"/>
      <c r="O42" s="112">
        <v>3</v>
      </c>
      <c r="P42" s="112">
        <v>2025</v>
      </c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94">
        <f>D42</f>
        <v>73900</v>
      </c>
      <c r="AJ42" s="94">
        <f>E42</f>
        <v>142000</v>
      </c>
      <c r="AK42" s="112"/>
    </row>
    <row r="43" spans="1:37" x14ac:dyDescent="0.35">
      <c r="A43" s="132" t="s">
        <v>760</v>
      </c>
      <c r="B43" s="133" t="s">
        <v>93</v>
      </c>
      <c r="C43" s="133" t="s">
        <v>36</v>
      </c>
      <c r="D43" s="134">
        <v>236190</v>
      </c>
      <c r="E43" s="134">
        <v>472380</v>
      </c>
      <c r="F43" s="135">
        <v>45741</v>
      </c>
      <c r="G43" s="136" t="s">
        <v>749</v>
      </c>
      <c r="H43" s="137"/>
      <c r="I43" s="138"/>
      <c r="J43" s="139">
        <v>9</v>
      </c>
      <c r="K43" s="121" t="s">
        <v>660</v>
      </c>
      <c r="L43" s="122">
        <v>231540</v>
      </c>
      <c r="M43" s="122"/>
      <c r="N43" s="122"/>
      <c r="O43" s="122">
        <v>3</v>
      </c>
      <c r="P43" s="122">
        <v>2025</v>
      </c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3">
        <f>D43</f>
        <v>236190</v>
      </c>
      <c r="AJ43" s="123">
        <f>E43</f>
        <v>472380</v>
      </c>
      <c r="AK43" s="122"/>
    </row>
    <row r="44" spans="1:37" x14ac:dyDescent="0.35">
      <c r="A44" s="124"/>
      <c r="B44" s="125"/>
      <c r="C44" s="126"/>
      <c r="D44" s="126"/>
      <c r="E44" s="127"/>
      <c r="F44" s="128"/>
      <c r="G44" s="129"/>
      <c r="H44" s="105"/>
      <c r="I44" s="130"/>
      <c r="J44" s="131"/>
      <c r="K44" s="118"/>
      <c r="L44" s="119"/>
      <c r="N44" s="103"/>
      <c r="O44" s="104"/>
      <c r="P44" s="120"/>
      <c r="Q44" s="115" t="s">
        <v>675</v>
      </c>
      <c r="R44" s="116">
        <f t="shared" ref="R44:AH44" si="8">SUM(R2:R43)</f>
        <v>1796747.09</v>
      </c>
      <c r="S44" s="116">
        <f t="shared" si="8"/>
        <v>5298156.96</v>
      </c>
      <c r="T44" s="116">
        <f t="shared" si="8"/>
        <v>9064.0999999999985</v>
      </c>
      <c r="U44" s="116">
        <f t="shared" si="8"/>
        <v>6622.5093782305776</v>
      </c>
      <c r="V44" s="116">
        <f t="shared" si="8"/>
        <v>17215.392795758911</v>
      </c>
      <c r="W44" s="116">
        <f t="shared" si="8"/>
        <v>9064.0999999999985</v>
      </c>
      <c r="X44" s="116">
        <f t="shared" si="8"/>
        <v>226602.5</v>
      </c>
      <c r="Y44" s="116">
        <f t="shared" si="8"/>
        <v>264.90037512922311</v>
      </c>
      <c r="Z44" s="116">
        <f t="shared" si="8"/>
        <v>0</v>
      </c>
      <c r="AA44" s="116">
        <f t="shared" si="8"/>
        <v>2636756.75</v>
      </c>
      <c r="AB44" s="116">
        <f t="shared" si="8"/>
        <v>7664998.71</v>
      </c>
      <c r="AC44" s="116">
        <f t="shared" si="8"/>
        <v>26325.739999999998</v>
      </c>
      <c r="AD44" s="116">
        <f t="shared" si="8"/>
        <v>3018.3829591210624</v>
      </c>
      <c r="AE44" s="116">
        <f t="shared" si="8"/>
        <v>6555.5334667883526</v>
      </c>
      <c r="AF44" s="116">
        <f t="shared" si="8"/>
        <v>23693.165999999997</v>
      </c>
      <c r="AG44" s="116">
        <f t="shared" si="8"/>
        <v>592329.15</v>
      </c>
      <c r="AH44" s="116">
        <f t="shared" si="8"/>
        <v>0</v>
      </c>
      <c r="AI44" s="116">
        <f>SUM(AI2:AI43)</f>
        <v>1483428.98</v>
      </c>
      <c r="AJ44" s="116">
        <f>SUM(AJ2:AJ43)</f>
        <v>3930391</v>
      </c>
      <c r="AK44" s="104"/>
    </row>
    <row r="45" spans="1:37" x14ac:dyDescent="0.35">
      <c r="Q45" s="115" t="s">
        <v>676</v>
      </c>
      <c r="R45" s="116">
        <f>AVERAGE(Energiatoodang!$R$2:$R$33)</f>
        <v>66546.188518518524</v>
      </c>
      <c r="S45" s="116">
        <f>AVERAGE(Energiatoodang!$S$2:$S$33)</f>
        <v>196228.03555555554</v>
      </c>
      <c r="T45" s="116">
        <f>AVERAGE(Energiatoodang!$T$2:$T$33)</f>
        <v>335.70740740740735</v>
      </c>
      <c r="U45" s="116"/>
      <c r="V45" s="116"/>
      <c r="W45" s="116">
        <f>AVERAGE(Energiatoodang!$W$2:$W$33)</f>
        <v>335.70740740740735</v>
      </c>
      <c r="X45" s="116">
        <f>AVERAGE(Energiatoodang!$X$2:$X$33)</f>
        <v>8392.6851851851843</v>
      </c>
      <c r="Y45" s="116">
        <f>AVERAGE(Energiatoodang!$X$2:$X$33)</f>
        <v>8392.6851851851843</v>
      </c>
      <c r="Z45" s="117" t="s">
        <v>676</v>
      </c>
      <c r="AA45" s="116">
        <f>AVERAGE(Energiatoodang!$X$2:$X$33)</f>
        <v>8392.6851851851843</v>
      </c>
      <c r="AB45" s="116">
        <f>AVERAGE(Energiatoodang!$X$2:$X$33)</f>
        <v>8392.6851851851843</v>
      </c>
      <c r="AC45" s="116">
        <f>AVERAGE(Energiatoodang!$X$2:$X$33)</f>
        <v>8392.6851851851843</v>
      </c>
      <c r="AD45" s="116">
        <f>AVERAGE(Energiatoodang!$X$2:$X$33)</f>
        <v>8392.6851851851843</v>
      </c>
      <c r="AE45" s="116">
        <f>AVERAGE(Energiatoodang!$X$2:$X$33)</f>
        <v>8392.6851851851843</v>
      </c>
      <c r="AF45" s="116">
        <f>AVERAGE(Energiatoodang!$X$2:$X$33)</f>
        <v>8392.6851851851843</v>
      </c>
      <c r="AG45" s="116">
        <f>AVERAGE(Energiatoodang!$X$2:$X$33)</f>
        <v>8392.6851851851843</v>
      </c>
      <c r="AH45" s="116">
        <f>AVERAGE(Energiatoodang!$X$2:$X$33)</f>
        <v>8392.6851851851843</v>
      </c>
      <c r="AI45" s="116">
        <f>AVERAGE(Energiatoodang!$X$2:$X$33)</f>
        <v>8392.6851851851843</v>
      </c>
      <c r="AJ45" s="116">
        <f>AVERAGE(Energiatoodang!$X$2:$X$33)</f>
        <v>8392.6851851851843</v>
      </c>
    </row>
    <row r="47" spans="1:37" x14ac:dyDescent="0.35">
      <c r="W47" s="62"/>
    </row>
    <row r="51" spans="12:13" x14ac:dyDescent="0.35">
      <c r="L51" s="100"/>
      <c r="M51" s="102"/>
    </row>
    <row r="52" spans="12:13" x14ac:dyDescent="0.35">
      <c r="L52" s="100"/>
      <c r="M52" s="102"/>
    </row>
    <row r="53" spans="12:13" x14ac:dyDescent="0.35">
      <c r="L53" s="100"/>
      <c r="M53" s="102"/>
    </row>
    <row r="72" spans="11:11" x14ac:dyDescent="0.35">
      <c r="K72" s="99"/>
    </row>
    <row r="73" spans="11:11" x14ac:dyDescent="0.35">
      <c r="K73" s="100"/>
    </row>
    <row r="74" spans="11:11" x14ac:dyDescent="0.35">
      <c r="K74" s="100"/>
    </row>
  </sheetData>
  <phoneticPr fontId="14" type="noConversion"/>
  <conditionalFormatting sqref="D2:D43 C44">
    <cfRule type="dataBar" priority="14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{348BC3F1-117C-463A-BC84-F78269D312CA}</x14:id>
        </ext>
      </extLst>
    </cfRule>
    <cfRule type="dataBar" priority="1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{DC64CFA0-8261-4AC4-8754-1FF9012E7A13}</x14:id>
        </ext>
      </extLst>
    </cfRule>
  </conditionalFormatting>
  <conditionalFormatting sqref="D9:D43 C44">
    <cfRule type="dataBar" priority="15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{83A62F41-0172-4853-9F21-BBB504DB3B8A}</x14:id>
        </ext>
      </extLst>
    </cfRule>
  </conditionalFormatting>
  <conditionalFormatting sqref="E2:E43 D44">
    <cfRule type="dataBar" priority="15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{2FFA1A54-44D5-4D84-8A78-E59053CE4402}</x14:id>
        </ext>
      </extLst>
    </cfRule>
    <cfRule type="dataBar" priority="15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{B3D3A833-A774-4DE2-AE3E-AF09DC72D64A}</x14:id>
        </ext>
      </extLst>
    </cfRule>
    <cfRule type="dataBar" priority="15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{667D000D-8B42-42F9-9D4A-5EE0BE06B987}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48BC3F1-117C-463A-BC84-F78269D312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C64CFA0-8261-4AC4-8754-1FF9012E7A1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D2:D43 C44</xm:sqref>
        </x14:conditionalFormatting>
        <x14:conditionalFormatting xmlns:xm="http://schemas.microsoft.com/office/excel/2006/main">
          <x14:cfRule type="dataBar" id="{83A62F41-0172-4853-9F21-BBB504DB3B8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D9:D43 C44</xm:sqref>
        </x14:conditionalFormatting>
        <x14:conditionalFormatting xmlns:xm="http://schemas.microsoft.com/office/excel/2006/main">
          <x14:cfRule type="dataBar" id="{2FFA1A54-44D5-4D84-8A78-E59053CE440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3D3A833-A774-4DE2-AE3E-AF09DC72D6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67D000D-8B42-42F9-9D4A-5EE0BE06B98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E2:E43 D44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7"/>
  <sheetViews>
    <sheetView zoomScale="74" zoomScaleNormal="75" workbookViewId="0">
      <selection activeCell="G14" sqref="G14"/>
    </sheetView>
  </sheetViews>
  <sheetFormatPr defaultColWidth="15.81640625" defaultRowHeight="14" customHeight="1" x14ac:dyDescent="0.35"/>
  <cols>
    <col min="1" max="1" width="15.81640625" style="3"/>
    <col min="2" max="2" width="24.6328125" style="3" customWidth="1"/>
    <col min="3" max="3" width="16" style="3" customWidth="1"/>
    <col min="4" max="4" width="29.1796875" style="3" customWidth="1"/>
    <col min="5" max="5" width="15.81640625" style="3"/>
    <col min="6" max="6" width="26.81640625" style="3" customWidth="1"/>
    <col min="7" max="7" width="25.54296875" style="3" customWidth="1"/>
    <col min="8" max="8" width="17.08984375" style="3" customWidth="1"/>
    <col min="9" max="9" width="20.36328125" style="3" customWidth="1"/>
    <col min="10" max="10" width="28.81640625" style="3" customWidth="1"/>
    <col min="11" max="11" width="14.90625" style="3" bestFit="1" customWidth="1"/>
    <col min="12" max="12" width="14.90625" style="3" customWidth="1"/>
    <col min="13" max="13" width="15.81640625" style="3"/>
    <col min="14" max="14" width="27.36328125" style="3" customWidth="1"/>
    <col min="15" max="15" width="15.81640625" style="42"/>
    <col min="16" max="16" width="27.36328125" style="3" customWidth="1"/>
    <col min="17" max="17" width="21.81640625" style="3" customWidth="1"/>
    <col min="18" max="18" width="17.453125" style="3" customWidth="1"/>
    <col min="19" max="19" width="26.08984375" style="3" customWidth="1"/>
    <col min="20" max="20" width="15.81640625" style="3"/>
    <col min="21" max="21" width="21.453125" style="3" customWidth="1"/>
    <col min="22" max="16384" width="15.81640625" style="3"/>
  </cols>
  <sheetData>
    <row r="1" spans="1:21" s="18" customFormat="1" ht="14" customHeight="1" x14ac:dyDescent="0.35">
      <c r="A1" s="76" t="s">
        <v>0</v>
      </c>
      <c r="B1" s="77" t="s">
        <v>1</v>
      </c>
      <c r="C1" s="77" t="s">
        <v>615</v>
      </c>
      <c r="D1" s="77" t="s">
        <v>2</v>
      </c>
      <c r="E1" s="77" t="s">
        <v>3</v>
      </c>
      <c r="F1" s="77" t="s">
        <v>4</v>
      </c>
      <c r="G1" s="77" t="s">
        <v>5</v>
      </c>
      <c r="H1" s="77" t="s">
        <v>6</v>
      </c>
      <c r="I1" s="77" t="s">
        <v>7</v>
      </c>
      <c r="J1" s="77" t="s">
        <v>8</v>
      </c>
      <c r="K1" s="77" t="s">
        <v>631</v>
      </c>
      <c r="L1" s="77" t="s">
        <v>649</v>
      </c>
      <c r="M1" s="77" t="s">
        <v>9</v>
      </c>
      <c r="N1" s="77" t="s">
        <v>10</v>
      </c>
      <c r="O1" s="78" t="s">
        <v>608</v>
      </c>
      <c r="P1" s="77" t="s">
        <v>11</v>
      </c>
      <c r="Q1" s="77" t="s">
        <v>12</v>
      </c>
      <c r="R1" s="77" t="s">
        <v>13</v>
      </c>
      <c r="S1" s="77" t="s">
        <v>14</v>
      </c>
      <c r="T1" s="77" t="s">
        <v>15</v>
      </c>
      <c r="U1" s="79" t="s">
        <v>16</v>
      </c>
    </row>
    <row r="2" spans="1:21" ht="14" customHeight="1" x14ac:dyDescent="0.35">
      <c r="A2" s="68" t="s">
        <v>609</v>
      </c>
      <c r="B2" s="21" t="s">
        <v>610</v>
      </c>
      <c r="C2" s="21" t="s">
        <v>609</v>
      </c>
      <c r="D2" s="22">
        <v>11022401</v>
      </c>
      <c r="E2" s="21" t="s">
        <v>19</v>
      </c>
      <c r="F2" s="21" t="s">
        <v>20</v>
      </c>
      <c r="G2" s="21" t="s">
        <v>21</v>
      </c>
      <c r="H2" s="21" t="s">
        <v>32</v>
      </c>
      <c r="I2" s="21"/>
      <c r="J2" s="23">
        <v>78561</v>
      </c>
      <c r="K2" s="23" t="s">
        <v>23</v>
      </c>
      <c r="L2" s="52" t="str">
        <f>IFERROR('RTK andmebaas'!$J2/'RTK andmebaas'!$K2,"")</f>
        <v/>
      </c>
      <c r="M2" s="21" t="s">
        <v>24</v>
      </c>
      <c r="N2" s="24">
        <v>45803</v>
      </c>
      <c r="O2" s="25">
        <f>YEAR(N2)</f>
        <v>2025</v>
      </c>
      <c r="P2" s="21" t="s">
        <v>25</v>
      </c>
      <c r="Q2" s="21" t="s">
        <v>26</v>
      </c>
      <c r="R2" s="21" t="s">
        <v>27</v>
      </c>
      <c r="S2" s="21"/>
      <c r="T2" s="57">
        <v>231540</v>
      </c>
      <c r="U2" s="73"/>
    </row>
    <row r="3" spans="1:21" ht="14" customHeight="1" x14ac:dyDescent="0.35">
      <c r="A3" s="68" t="s">
        <v>17</v>
      </c>
      <c r="B3" s="21" t="s">
        <v>18</v>
      </c>
      <c r="C3" s="21" t="s">
        <v>17</v>
      </c>
      <c r="D3" s="22">
        <v>11950532</v>
      </c>
      <c r="E3" s="21" t="s">
        <v>19</v>
      </c>
      <c r="F3" s="21" t="s">
        <v>20</v>
      </c>
      <c r="G3" s="21" t="s">
        <v>21</v>
      </c>
      <c r="H3" s="21" t="s">
        <v>22</v>
      </c>
      <c r="I3" s="21" t="s">
        <v>23</v>
      </c>
      <c r="J3" s="23">
        <v>150500</v>
      </c>
      <c r="K3" s="23" t="s">
        <v>23</v>
      </c>
      <c r="L3" s="52" t="str">
        <f>IFERROR('RTK andmebaas'!$J3/'RTK andmebaas'!$K3,"")</f>
        <v/>
      </c>
      <c r="M3" s="21" t="s">
        <v>24</v>
      </c>
      <c r="N3" s="24">
        <v>45800</v>
      </c>
      <c r="O3" s="25">
        <f>YEAR(N3)</f>
        <v>2025</v>
      </c>
      <c r="P3" s="21" t="s">
        <v>25</v>
      </c>
      <c r="Q3" s="21" t="s">
        <v>26</v>
      </c>
      <c r="R3" s="21" t="s">
        <v>27</v>
      </c>
      <c r="S3" s="21" t="s">
        <v>23</v>
      </c>
      <c r="T3" s="22">
        <v>231540</v>
      </c>
      <c r="U3" s="73"/>
    </row>
    <row r="4" spans="1:21" ht="14" customHeight="1" x14ac:dyDescent="0.35">
      <c r="A4" s="69" t="s">
        <v>28</v>
      </c>
      <c r="B4" s="27" t="s">
        <v>29</v>
      </c>
      <c r="C4" s="27" t="s">
        <v>28</v>
      </c>
      <c r="D4" s="28">
        <v>12899313</v>
      </c>
      <c r="E4" s="27" t="s">
        <v>19</v>
      </c>
      <c r="F4" s="27" t="s">
        <v>20</v>
      </c>
      <c r="G4" s="27" t="s">
        <v>21</v>
      </c>
      <c r="H4" s="27" t="s">
        <v>22</v>
      </c>
      <c r="I4" s="27" t="s">
        <v>23</v>
      </c>
      <c r="J4" s="29">
        <v>32006.400000000001</v>
      </c>
      <c r="K4" s="29" t="s">
        <v>23</v>
      </c>
      <c r="L4" s="53" t="str">
        <f>IFERROR('RTK andmebaas'!$J4/'RTK andmebaas'!$K4,"")</f>
        <v/>
      </c>
      <c r="M4" s="27" t="s">
        <v>24</v>
      </c>
      <c r="N4" s="19">
        <v>45800</v>
      </c>
      <c r="O4" s="20">
        <f t="shared" ref="O4:O67" si="0">YEAR(N4)</f>
        <v>2025</v>
      </c>
      <c r="P4" s="27" t="s">
        <v>25</v>
      </c>
      <c r="Q4" s="27" t="s">
        <v>26</v>
      </c>
      <c r="R4" s="27" t="s">
        <v>27</v>
      </c>
      <c r="S4" s="27" t="s">
        <v>23</v>
      </c>
      <c r="T4" s="28">
        <v>231540</v>
      </c>
      <c r="U4" s="74"/>
    </row>
    <row r="5" spans="1:21" ht="14" customHeight="1" x14ac:dyDescent="0.35">
      <c r="A5" s="68" t="s">
        <v>30</v>
      </c>
      <c r="B5" s="21" t="s">
        <v>31</v>
      </c>
      <c r="C5" s="21" t="s">
        <v>30</v>
      </c>
      <c r="D5" s="22">
        <v>11553251</v>
      </c>
      <c r="E5" s="21" t="s">
        <v>19</v>
      </c>
      <c r="F5" s="21" t="s">
        <v>20</v>
      </c>
      <c r="G5" s="21" t="s">
        <v>21</v>
      </c>
      <c r="H5" s="21" t="s">
        <v>32</v>
      </c>
      <c r="I5" s="21" t="s">
        <v>23</v>
      </c>
      <c r="J5" s="23">
        <v>144894.85</v>
      </c>
      <c r="K5" s="23" t="s">
        <v>23</v>
      </c>
      <c r="L5" s="52" t="str">
        <f>IFERROR('RTK andmebaas'!$J5/'RTK andmebaas'!$K5,"")</f>
        <v/>
      </c>
      <c r="M5" s="21" t="s">
        <v>24</v>
      </c>
      <c r="N5" s="24">
        <v>45799</v>
      </c>
      <c r="O5" s="25">
        <f t="shared" si="0"/>
        <v>2025</v>
      </c>
      <c r="P5" s="21" t="s">
        <v>25</v>
      </c>
      <c r="Q5" s="21" t="s">
        <v>26</v>
      </c>
      <c r="R5" s="21" t="s">
        <v>27</v>
      </c>
      <c r="S5" s="21" t="s">
        <v>23</v>
      </c>
      <c r="T5" s="22">
        <v>231540</v>
      </c>
      <c r="U5" s="73"/>
    </row>
    <row r="6" spans="1:21" ht="14" customHeight="1" x14ac:dyDescent="0.35">
      <c r="A6" s="69" t="s">
        <v>33</v>
      </c>
      <c r="B6" s="27" t="s">
        <v>34</v>
      </c>
      <c r="C6" s="27" t="s">
        <v>33</v>
      </c>
      <c r="D6" s="28">
        <v>12307666</v>
      </c>
      <c r="E6" s="27" t="s">
        <v>19</v>
      </c>
      <c r="F6" s="27" t="s">
        <v>35</v>
      </c>
      <c r="G6" s="27" t="s">
        <v>21</v>
      </c>
      <c r="H6" s="27" t="s">
        <v>36</v>
      </c>
      <c r="I6" s="27"/>
      <c r="J6" s="29">
        <v>40000</v>
      </c>
      <c r="K6" s="29" t="s">
        <v>23</v>
      </c>
      <c r="L6" s="53" t="str">
        <f>IFERROR('RTK andmebaas'!$J6/'RTK andmebaas'!$K6,"")</f>
        <v/>
      </c>
      <c r="M6" s="27" t="s">
        <v>24</v>
      </c>
      <c r="N6" s="19">
        <v>45799</v>
      </c>
      <c r="O6" s="20">
        <f t="shared" si="0"/>
        <v>2025</v>
      </c>
      <c r="P6" s="27" t="s">
        <v>25</v>
      </c>
      <c r="Q6" s="27" t="s">
        <v>26</v>
      </c>
      <c r="R6" s="27" t="s">
        <v>27</v>
      </c>
      <c r="S6" s="27" t="s">
        <v>23</v>
      </c>
      <c r="T6" s="28">
        <v>231540</v>
      </c>
      <c r="U6" s="74"/>
    </row>
    <row r="7" spans="1:21" ht="14" customHeight="1" x14ac:dyDescent="0.35">
      <c r="A7" s="68" t="s">
        <v>37</v>
      </c>
      <c r="B7" s="21" t="s">
        <v>38</v>
      </c>
      <c r="C7" s="21" t="s">
        <v>37</v>
      </c>
      <c r="D7" s="22">
        <v>10868248</v>
      </c>
      <c r="E7" s="21" t="s">
        <v>19</v>
      </c>
      <c r="F7" s="21" t="s">
        <v>35</v>
      </c>
      <c r="G7" s="21" t="s">
        <v>21</v>
      </c>
      <c r="H7" s="21" t="s">
        <v>22</v>
      </c>
      <c r="I7" s="21" t="s">
        <v>23</v>
      </c>
      <c r="J7" s="23">
        <v>210090</v>
      </c>
      <c r="K7" s="23" t="s">
        <v>23</v>
      </c>
      <c r="L7" s="52" t="str">
        <f>IFERROR('RTK andmebaas'!$J7/'RTK andmebaas'!$K7,"")</f>
        <v/>
      </c>
      <c r="M7" s="21" t="s">
        <v>24</v>
      </c>
      <c r="N7" s="24">
        <v>45799</v>
      </c>
      <c r="O7" s="25">
        <f t="shared" si="0"/>
        <v>2025</v>
      </c>
      <c r="P7" s="21" t="s">
        <v>25</v>
      </c>
      <c r="Q7" s="21" t="s">
        <v>26</v>
      </c>
      <c r="R7" s="21" t="s">
        <v>27</v>
      </c>
      <c r="S7" s="21" t="s">
        <v>23</v>
      </c>
      <c r="T7" s="22">
        <v>231540</v>
      </c>
      <c r="U7" s="73"/>
    </row>
    <row r="8" spans="1:21" ht="14" customHeight="1" x14ac:dyDescent="0.35">
      <c r="A8" s="69" t="s">
        <v>39</v>
      </c>
      <c r="B8" s="27" t="s">
        <v>40</v>
      </c>
      <c r="C8" s="27" t="s">
        <v>39</v>
      </c>
      <c r="D8" s="28">
        <v>12469363</v>
      </c>
      <c r="E8" s="27" t="s">
        <v>19</v>
      </c>
      <c r="F8" s="27" t="s">
        <v>20</v>
      </c>
      <c r="G8" s="27" t="s">
        <v>21</v>
      </c>
      <c r="H8" s="27" t="s">
        <v>32</v>
      </c>
      <c r="I8" s="27" t="s">
        <v>23</v>
      </c>
      <c r="J8" s="29">
        <v>21130</v>
      </c>
      <c r="K8" s="29" t="s">
        <v>23</v>
      </c>
      <c r="L8" s="53" t="str">
        <f>IFERROR('RTK andmebaas'!$J8/'RTK andmebaas'!$K8,"")</f>
        <v/>
      </c>
      <c r="M8" s="27" t="s">
        <v>24</v>
      </c>
      <c r="N8" s="19">
        <v>45799</v>
      </c>
      <c r="O8" s="20">
        <f t="shared" si="0"/>
        <v>2025</v>
      </c>
      <c r="P8" s="27" t="s">
        <v>25</v>
      </c>
      <c r="Q8" s="27" t="s">
        <v>26</v>
      </c>
      <c r="R8" s="27" t="s">
        <v>27</v>
      </c>
      <c r="S8" s="27" t="s">
        <v>23</v>
      </c>
      <c r="T8" s="28">
        <v>231540</v>
      </c>
      <c r="U8" s="74"/>
    </row>
    <row r="9" spans="1:21" ht="14" customHeight="1" x14ac:dyDescent="0.35">
      <c r="A9" s="68" t="s">
        <v>41</v>
      </c>
      <c r="B9" s="21" t="s">
        <v>42</v>
      </c>
      <c r="C9" s="21" t="s">
        <v>41</v>
      </c>
      <c r="D9" s="22">
        <v>11134293</v>
      </c>
      <c r="E9" s="21" t="s">
        <v>19</v>
      </c>
      <c r="F9" s="21" t="s">
        <v>20</v>
      </c>
      <c r="G9" s="21" t="s">
        <v>21</v>
      </c>
      <c r="H9" s="21" t="s">
        <v>43</v>
      </c>
      <c r="I9" s="21" t="s">
        <v>23</v>
      </c>
      <c r="J9" s="23">
        <v>70000</v>
      </c>
      <c r="K9" s="23">
        <v>100000</v>
      </c>
      <c r="L9" s="52">
        <f>IFERROR('RTK andmebaas'!$J9/'RTK andmebaas'!$K9,"")</f>
        <v>0.7</v>
      </c>
      <c r="M9" s="21" t="s">
        <v>24</v>
      </c>
      <c r="N9" s="24">
        <v>45799</v>
      </c>
      <c r="O9" s="25">
        <f t="shared" si="0"/>
        <v>2025</v>
      </c>
      <c r="P9" s="21" t="s">
        <v>25</v>
      </c>
      <c r="Q9" s="21" t="s">
        <v>26</v>
      </c>
      <c r="R9" s="21" t="s">
        <v>27</v>
      </c>
      <c r="S9" s="21" t="s">
        <v>23</v>
      </c>
      <c r="T9" s="22">
        <v>231540</v>
      </c>
      <c r="U9" s="73"/>
    </row>
    <row r="10" spans="1:21" ht="14" customHeight="1" x14ac:dyDescent="0.35">
      <c r="A10" s="69" t="s">
        <v>44</v>
      </c>
      <c r="B10" s="27" t="s">
        <v>45</v>
      </c>
      <c r="C10" s="27" t="s">
        <v>44</v>
      </c>
      <c r="D10" s="28">
        <v>12812648</v>
      </c>
      <c r="E10" s="27" t="s">
        <v>19</v>
      </c>
      <c r="F10" s="27" t="s">
        <v>46</v>
      </c>
      <c r="G10" s="27" t="s">
        <v>21</v>
      </c>
      <c r="H10" s="27" t="s">
        <v>47</v>
      </c>
      <c r="I10" s="27" t="s">
        <v>23</v>
      </c>
      <c r="J10" s="29">
        <v>77350</v>
      </c>
      <c r="K10" s="29" t="s">
        <v>23</v>
      </c>
      <c r="L10" s="53" t="str">
        <f>IFERROR('RTK andmebaas'!$J10/'RTK andmebaas'!$K10,"")</f>
        <v/>
      </c>
      <c r="M10" s="27" t="s">
        <v>24</v>
      </c>
      <c r="N10" s="19">
        <v>45799</v>
      </c>
      <c r="O10" s="20">
        <f t="shared" si="0"/>
        <v>2025</v>
      </c>
      <c r="P10" s="27" t="s">
        <v>25</v>
      </c>
      <c r="Q10" s="27" t="s">
        <v>26</v>
      </c>
      <c r="R10" s="27" t="s">
        <v>27</v>
      </c>
      <c r="S10" s="27" t="s">
        <v>23</v>
      </c>
      <c r="T10" s="28">
        <v>231540</v>
      </c>
      <c r="U10" s="74"/>
    </row>
    <row r="11" spans="1:21" ht="14" customHeight="1" x14ac:dyDescent="0.35">
      <c r="A11" s="68" t="s">
        <v>48</v>
      </c>
      <c r="B11" s="21" t="s">
        <v>49</v>
      </c>
      <c r="C11" s="21" t="s">
        <v>48</v>
      </c>
      <c r="D11" s="22">
        <v>10078210</v>
      </c>
      <c r="E11" s="21" t="s">
        <v>19</v>
      </c>
      <c r="F11" s="21" t="s">
        <v>35</v>
      </c>
      <c r="G11" s="21" t="s">
        <v>21</v>
      </c>
      <c r="H11" s="21" t="s">
        <v>32</v>
      </c>
      <c r="I11" s="21" t="s">
        <v>23</v>
      </c>
      <c r="J11" s="23">
        <v>74142</v>
      </c>
      <c r="K11" s="23">
        <v>148284</v>
      </c>
      <c r="L11" s="52">
        <f>IFERROR('RTK andmebaas'!$J11/'RTK andmebaas'!$K11,"")</f>
        <v>0.5</v>
      </c>
      <c r="M11" s="21" t="s">
        <v>24</v>
      </c>
      <c r="N11" s="24">
        <v>45796</v>
      </c>
      <c r="O11" s="25">
        <f t="shared" si="0"/>
        <v>2025</v>
      </c>
      <c r="P11" s="21" t="s">
        <v>25</v>
      </c>
      <c r="Q11" s="21" t="s">
        <v>26</v>
      </c>
      <c r="R11" s="21" t="s">
        <v>27</v>
      </c>
      <c r="S11" s="21" t="s">
        <v>23</v>
      </c>
      <c r="T11" s="22">
        <v>231540</v>
      </c>
      <c r="U11" s="73"/>
    </row>
    <row r="12" spans="1:21" ht="14" customHeight="1" x14ac:dyDescent="0.35">
      <c r="A12" s="69" t="s">
        <v>50</v>
      </c>
      <c r="B12" s="27" t="s">
        <v>51</v>
      </c>
      <c r="C12" s="27" t="s">
        <v>50</v>
      </c>
      <c r="D12" s="28">
        <v>10126848</v>
      </c>
      <c r="E12" s="27" t="s">
        <v>19</v>
      </c>
      <c r="F12" s="27" t="s">
        <v>35</v>
      </c>
      <c r="G12" s="27" t="s">
        <v>21</v>
      </c>
      <c r="H12" s="27" t="s">
        <v>52</v>
      </c>
      <c r="I12" s="27" t="s">
        <v>23</v>
      </c>
      <c r="J12" s="29">
        <v>57999.77</v>
      </c>
      <c r="K12" s="29">
        <v>115999.54</v>
      </c>
      <c r="L12" s="53">
        <f>IFERROR('RTK andmebaas'!$J12/'RTK andmebaas'!$K12,"")</f>
        <v>0.5</v>
      </c>
      <c r="M12" s="27" t="s">
        <v>24</v>
      </c>
      <c r="N12" s="19">
        <v>45793</v>
      </c>
      <c r="O12" s="20">
        <f t="shared" si="0"/>
        <v>2025</v>
      </c>
      <c r="P12" s="27" t="s">
        <v>25</v>
      </c>
      <c r="Q12" s="27" t="s">
        <v>26</v>
      </c>
      <c r="R12" s="27" t="s">
        <v>27</v>
      </c>
      <c r="S12" s="27" t="s">
        <v>23</v>
      </c>
      <c r="T12" s="28">
        <v>231540</v>
      </c>
      <c r="U12" s="74"/>
    </row>
    <row r="13" spans="1:21" ht="14" customHeight="1" x14ac:dyDescent="0.35">
      <c r="A13" s="68" t="s">
        <v>53</v>
      </c>
      <c r="B13" s="21" t="s">
        <v>54</v>
      </c>
      <c r="C13" s="21" t="s">
        <v>53</v>
      </c>
      <c r="D13" s="22">
        <v>11494695</v>
      </c>
      <c r="E13" s="21" t="s">
        <v>19</v>
      </c>
      <c r="F13" s="21" t="s">
        <v>20</v>
      </c>
      <c r="G13" s="21" t="s">
        <v>21</v>
      </c>
      <c r="H13" s="21" t="s">
        <v>55</v>
      </c>
      <c r="I13" s="21" t="s">
        <v>23</v>
      </c>
      <c r="J13" s="23">
        <v>86492</v>
      </c>
      <c r="K13" s="23">
        <v>123560</v>
      </c>
      <c r="L13" s="52">
        <f>IFERROR('RTK andmebaas'!$J13/'RTK andmebaas'!$K13,"")</f>
        <v>0.7</v>
      </c>
      <c r="M13" s="21" t="s">
        <v>24</v>
      </c>
      <c r="N13" s="24">
        <v>45793</v>
      </c>
      <c r="O13" s="25">
        <f t="shared" si="0"/>
        <v>2025</v>
      </c>
      <c r="P13" s="21" t="s">
        <v>25</v>
      </c>
      <c r="Q13" s="21" t="s">
        <v>26</v>
      </c>
      <c r="R13" s="21" t="s">
        <v>27</v>
      </c>
      <c r="S13" s="21" t="s">
        <v>23</v>
      </c>
      <c r="T13" s="22">
        <v>231540</v>
      </c>
      <c r="U13" s="73"/>
    </row>
    <row r="14" spans="1:21" ht="14" customHeight="1" x14ac:dyDescent="0.35">
      <c r="A14" s="69" t="s">
        <v>56</v>
      </c>
      <c r="B14" s="27" t="s">
        <v>57</v>
      </c>
      <c r="C14" s="27" t="s">
        <v>56</v>
      </c>
      <c r="D14" s="28">
        <v>10883041</v>
      </c>
      <c r="E14" s="27" t="s">
        <v>19</v>
      </c>
      <c r="F14" s="27" t="s">
        <v>35</v>
      </c>
      <c r="G14" s="27" t="s">
        <v>21</v>
      </c>
      <c r="H14" s="27" t="s">
        <v>32</v>
      </c>
      <c r="I14" s="27" t="s">
        <v>23</v>
      </c>
      <c r="J14" s="29">
        <v>152689.70000000001</v>
      </c>
      <c r="K14" s="29">
        <v>254482.84</v>
      </c>
      <c r="L14" s="53">
        <f>IFERROR('RTK andmebaas'!$J14/'RTK andmebaas'!$K14,"")</f>
        <v>0.59999998428184786</v>
      </c>
      <c r="M14" s="27" t="s">
        <v>24</v>
      </c>
      <c r="N14" s="19">
        <v>45791</v>
      </c>
      <c r="O14" s="20">
        <f t="shared" si="0"/>
        <v>2025</v>
      </c>
      <c r="P14" s="27" t="s">
        <v>25</v>
      </c>
      <c r="Q14" s="27" t="s">
        <v>26</v>
      </c>
      <c r="R14" s="27" t="s">
        <v>27</v>
      </c>
      <c r="S14" s="27" t="s">
        <v>23</v>
      </c>
      <c r="T14" s="28">
        <v>231540</v>
      </c>
      <c r="U14" s="74"/>
    </row>
    <row r="15" spans="1:21" ht="14" customHeight="1" x14ac:dyDescent="0.35">
      <c r="A15" s="68" t="s">
        <v>58</v>
      </c>
      <c r="B15" s="21" t="s">
        <v>59</v>
      </c>
      <c r="C15" s="21" t="s">
        <v>58</v>
      </c>
      <c r="D15" s="22">
        <v>10274158</v>
      </c>
      <c r="E15" s="21" t="s">
        <v>19</v>
      </c>
      <c r="F15" s="21" t="s">
        <v>20</v>
      </c>
      <c r="G15" s="21" t="s">
        <v>21</v>
      </c>
      <c r="H15" s="21" t="s">
        <v>60</v>
      </c>
      <c r="I15" s="21" t="s">
        <v>23</v>
      </c>
      <c r="J15" s="23">
        <v>68857.600000000006</v>
      </c>
      <c r="K15" s="23">
        <v>98368</v>
      </c>
      <c r="L15" s="52">
        <f>IFERROR('RTK andmebaas'!$J15/'RTK andmebaas'!$K15,"")</f>
        <v>0.70000000000000007</v>
      </c>
      <c r="M15" s="21" t="s">
        <v>24</v>
      </c>
      <c r="N15" s="24">
        <v>45790</v>
      </c>
      <c r="O15" s="25">
        <f t="shared" si="0"/>
        <v>2025</v>
      </c>
      <c r="P15" s="21" t="s">
        <v>25</v>
      </c>
      <c r="Q15" s="21" t="s">
        <v>26</v>
      </c>
      <c r="R15" s="21" t="s">
        <v>27</v>
      </c>
      <c r="S15" s="21" t="s">
        <v>23</v>
      </c>
      <c r="T15" s="22">
        <v>231540</v>
      </c>
      <c r="U15" s="73"/>
    </row>
    <row r="16" spans="1:21" ht="14" customHeight="1" x14ac:dyDescent="0.35">
      <c r="A16" s="69" t="s">
        <v>61</v>
      </c>
      <c r="B16" s="27" t="s">
        <v>62</v>
      </c>
      <c r="C16" s="27" t="s">
        <v>61</v>
      </c>
      <c r="D16" s="28">
        <v>10218993</v>
      </c>
      <c r="E16" s="27" t="s">
        <v>19</v>
      </c>
      <c r="F16" s="27" t="s">
        <v>20</v>
      </c>
      <c r="G16" s="27" t="s">
        <v>21</v>
      </c>
      <c r="H16" s="27" t="s">
        <v>63</v>
      </c>
      <c r="I16" s="27" t="s">
        <v>23</v>
      </c>
      <c r="J16" s="29">
        <v>96186.2</v>
      </c>
      <c r="K16" s="29">
        <v>137616</v>
      </c>
      <c r="L16" s="53">
        <f>IFERROR('RTK andmebaas'!$J16/'RTK andmebaas'!$K16,"")</f>
        <v>0.6989463434484362</v>
      </c>
      <c r="M16" s="27" t="s">
        <v>24</v>
      </c>
      <c r="N16" s="19">
        <v>45790</v>
      </c>
      <c r="O16" s="20">
        <f t="shared" si="0"/>
        <v>2025</v>
      </c>
      <c r="P16" s="27" t="s">
        <v>25</v>
      </c>
      <c r="Q16" s="27" t="s">
        <v>26</v>
      </c>
      <c r="R16" s="27" t="s">
        <v>27</v>
      </c>
      <c r="S16" s="27" t="s">
        <v>23</v>
      </c>
      <c r="T16" s="28">
        <v>231540</v>
      </c>
      <c r="U16" s="74"/>
    </row>
    <row r="17" spans="1:21" ht="14" customHeight="1" x14ac:dyDescent="0.35">
      <c r="A17" s="68" t="s">
        <v>64</v>
      </c>
      <c r="B17" s="21" t="s">
        <v>65</v>
      </c>
      <c r="C17" s="21" t="s">
        <v>64</v>
      </c>
      <c r="D17" s="22">
        <v>14659257</v>
      </c>
      <c r="E17" s="21" t="s">
        <v>19</v>
      </c>
      <c r="F17" s="21" t="s">
        <v>20</v>
      </c>
      <c r="G17" s="21" t="s">
        <v>21</v>
      </c>
      <c r="H17" s="21" t="s">
        <v>22</v>
      </c>
      <c r="I17" s="21" t="s">
        <v>23</v>
      </c>
      <c r="J17" s="23">
        <v>49230</v>
      </c>
      <c r="K17" s="23">
        <v>82050</v>
      </c>
      <c r="L17" s="52">
        <f>IFERROR('RTK andmebaas'!$J17/'RTK andmebaas'!$K17,"")</f>
        <v>0.6</v>
      </c>
      <c r="M17" s="21" t="s">
        <v>24</v>
      </c>
      <c r="N17" s="24">
        <v>45790</v>
      </c>
      <c r="O17" s="25">
        <f t="shared" si="0"/>
        <v>2025</v>
      </c>
      <c r="P17" s="21" t="s">
        <v>25</v>
      </c>
      <c r="Q17" s="21" t="s">
        <v>26</v>
      </c>
      <c r="R17" s="21" t="s">
        <v>27</v>
      </c>
      <c r="S17" s="21" t="s">
        <v>23</v>
      </c>
      <c r="T17" s="22">
        <v>231540</v>
      </c>
      <c r="U17" s="73"/>
    </row>
    <row r="18" spans="1:21" ht="14" customHeight="1" x14ac:dyDescent="0.35">
      <c r="A18" s="69" t="s">
        <v>66</v>
      </c>
      <c r="B18" s="27" t="s">
        <v>67</v>
      </c>
      <c r="C18" s="27" t="s">
        <v>66</v>
      </c>
      <c r="D18" s="28">
        <v>12107559</v>
      </c>
      <c r="E18" s="27" t="s">
        <v>19</v>
      </c>
      <c r="F18" s="27" t="s">
        <v>46</v>
      </c>
      <c r="G18" s="27" t="s">
        <v>21</v>
      </c>
      <c r="H18" s="27" t="s">
        <v>32</v>
      </c>
      <c r="I18" s="27" t="s">
        <v>23</v>
      </c>
      <c r="J18" s="29">
        <v>274400</v>
      </c>
      <c r="K18" s="29">
        <v>392000</v>
      </c>
      <c r="L18" s="53">
        <f>IFERROR('RTK andmebaas'!$J18/'RTK andmebaas'!$K18,"")</f>
        <v>0.7</v>
      </c>
      <c r="M18" s="27" t="s">
        <v>24</v>
      </c>
      <c r="N18" s="19">
        <v>45786</v>
      </c>
      <c r="O18" s="20">
        <f t="shared" si="0"/>
        <v>2025</v>
      </c>
      <c r="P18" s="27" t="s">
        <v>25</v>
      </c>
      <c r="Q18" s="27" t="s">
        <v>26</v>
      </c>
      <c r="R18" s="27" t="s">
        <v>27</v>
      </c>
      <c r="S18" s="27" t="s">
        <v>23</v>
      </c>
      <c r="T18" s="28">
        <v>231540</v>
      </c>
      <c r="U18" s="74"/>
    </row>
    <row r="19" spans="1:21" ht="14" customHeight="1" x14ac:dyDescent="0.35">
      <c r="A19" s="68" t="s">
        <v>68</v>
      </c>
      <c r="B19" s="21" t="s">
        <v>69</v>
      </c>
      <c r="C19" s="21" t="s">
        <v>68</v>
      </c>
      <c r="D19" s="22">
        <v>10419556</v>
      </c>
      <c r="E19" s="21" t="s">
        <v>19</v>
      </c>
      <c r="F19" s="21" t="s">
        <v>46</v>
      </c>
      <c r="G19" s="21" t="s">
        <v>21</v>
      </c>
      <c r="H19" s="21" t="s">
        <v>70</v>
      </c>
      <c r="I19" s="21" t="s">
        <v>23</v>
      </c>
      <c r="J19" s="23">
        <v>27043.8</v>
      </c>
      <c r="K19" s="23">
        <v>38634</v>
      </c>
      <c r="L19" s="52">
        <f>IFERROR('RTK andmebaas'!$J19/'RTK andmebaas'!$K19,"")</f>
        <v>0.7</v>
      </c>
      <c r="M19" s="21" t="s">
        <v>24</v>
      </c>
      <c r="N19" s="24">
        <v>45786</v>
      </c>
      <c r="O19" s="25">
        <f t="shared" si="0"/>
        <v>2025</v>
      </c>
      <c r="P19" s="21" t="s">
        <v>25</v>
      </c>
      <c r="Q19" s="21" t="s">
        <v>26</v>
      </c>
      <c r="R19" s="21" t="s">
        <v>27</v>
      </c>
      <c r="S19" s="21" t="s">
        <v>23</v>
      </c>
      <c r="T19" s="22">
        <v>231540</v>
      </c>
      <c r="U19" s="73"/>
    </row>
    <row r="20" spans="1:21" ht="14" customHeight="1" x14ac:dyDescent="0.35">
      <c r="A20" s="69" t="s">
        <v>71</v>
      </c>
      <c r="B20" s="27" t="s">
        <v>72</v>
      </c>
      <c r="C20" s="27" t="s">
        <v>71</v>
      </c>
      <c r="D20" s="28">
        <v>14137688</v>
      </c>
      <c r="E20" s="27" t="s">
        <v>19</v>
      </c>
      <c r="F20" s="27" t="s">
        <v>46</v>
      </c>
      <c r="G20" s="27" t="s">
        <v>21</v>
      </c>
      <c r="H20" s="27" t="s">
        <v>73</v>
      </c>
      <c r="I20" s="27" t="s">
        <v>23</v>
      </c>
      <c r="J20" s="29">
        <v>27540</v>
      </c>
      <c r="K20" s="29">
        <v>45900</v>
      </c>
      <c r="L20" s="53">
        <f>IFERROR('RTK andmebaas'!$J20/'RTK andmebaas'!$K20,"")</f>
        <v>0.6</v>
      </c>
      <c r="M20" s="27" t="s">
        <v>24</v>
      </c>
      <c r="N20" s="19">
        <v>45785</v>
      </c>
      <c r="O20" s="20">
        <f t="shared" si="0"/>
        <v>2025</v>
      </c>
      <c r="P20" s="27" t="s">
        <v>25</v>
      </c>
      <c r="Q20" s="27" t="s">
        <v>26</v>
      </c>
      <c r="R20" s="27" t="s">
        <v>27</v>
      </c>
      <c r="S20" s="27" t="s">
        <v>23</v>
      </c>
      <c r="T20" s="28">
        <v>231540</v>
      </c>
      <c r="U20" s="74"/>
    </row>
    <row r="21" spans="1:21" ht="14" customHeight="1" x14ac:dyDescent="0.35">
      <c r="A21" s="68" t="s">
        <v>74</v>
      </c>
      <c r="B21" s="21" t="s">
        <v>75</v>
      </c>
      <c r="C21" s="21" t="s">
        <v>74</v>
      </c>
      <c r="D21" s="22">
        <v>10582240</v>
      </c>
      <c r="E21" s="21" t="s">
        <v>19</v>
      </c>
      <c r="F21" s="21" t="s">
        <v>20</v>
      </c>
      <c r="G21" s="21" t="s">
        <v>21</v>
      </c>
      <c r="H21" s="21" t="s">
        <v>76</v>
      </c>
      <c r="I21" s="21" t="s">
        <v>23</v>
      </c>
      <c r="J21" s="23">
        <v>13930</v>
      </c>
      <c r="K21" s="23">
        <v>19900</v>
      </c>
      <c r="L21" s="52">
        <f>IFERROR('RTK andmebaas'!$J21/'RTK andmebaas'!$K21,"")</f>
        <v>0.7</v>
      </c>
      <c r="M21" s="21" t="s">
        <v>24</v>
      </c>
      <c r="N21" s="24">
        <v>45784</v>
      </c>
      <c r="O21" s="25">
        <f t="shared" si="0"/>
        <v>2025</v>
      </c>
      <c r="P21" s="21" t="s">
        <v>25</v>
      </c>
      <c r="Q21" s="21" t="s">
        <v>26</v>
      </c>
      <c r="R21" s="21" t="s">
        <v>27</v>
      </c>
      <c r="S21" s="21" t="s">
        <v>23</v>
      </c>
      <c r="T21" s="22">
        <v>231540</v>
      </c>
      <c r="U21" s="73"/>
    </row>
    <row r="22" spans="1:21" ht="14" customHeight="1" x14ac:dyDescent="0.35">
      <c r="A22" s="69" t="s">
        <v>77</v>
      </c>
      <c r="B22" s="27" t="s">
        <v>78</v>
      </c>
      <c r="C22" s="27" t="s">
        <v>77</v>
      </c>
      <c r="D22" s="28">
        <v>10302662</v>
      </c>
      <c r="E22" s="27" t="s">
        <v>19</v>
      </c>
      <c r="F22" s="27" t="s">
        <v>20</v>
      </c>
      <c r="G22" s="27" t="s">
        <v>21</v>
      </c>
      <c r="H22" s="27" t="s">
        <v>79</v>
      </c>
      <c r="I22" s="27" t="s">
        <v>23</v>
      </c>
      <c r="J22" s="29">
        <v>55930</v>
      </c>
      <c r="K22" s="29">
        <v>79900</v>
      </c>
      <c r="L22" s="53">
        <f>IFERROR('RTK andmebaas'!$J22/'RTK andmebaas'!$K22,"")</f>
        <v>0.7</v>
      </c>
      <c r="M22" s="27" t="s">
        <v>24</v>
      </c>
      <c r="N22" s="19">
        <v>45784</v>
      </c>
      <c r="O22" s="20">
        <f t="shared" si="0"/>
        <v>2025</v>
      </c>
      <c r="P22" s="27" t="s">
        <v>25</v>
      </c>
      <c r="Q22" s="27" t="s">
        <v>26</v>
      </c>
      <c r="R22" s="27" t="s">
        <v>27</v>
      </c>
      <c r="S22" s="27" t="s">
        <v>23</v>
      </c>
      <c r="T22" s="28">
        <v>231540</v>
      </c>
      <c r="U22" s="74"/>
    </row>
    <row r="23" spans="1:21" ht="14" customHeight="1" x14ac:dyDescent="0.35">
      <c r="A23" s="68" t="s">
        <v>80</v>
      </c>
      <c r="B23" s="21" t="s">
        <v>81</v>
      </c>
      <c r="C23" s="21" t="s">
        <v>80</v>
      </c>
      <c r="D23" s="22">
        <v>12842247</v>
      </c>
      <c r="E23" s="21" t="s">
        <v>19</v>
      </c>
      <c r="F23" s="21" t="s">
        <v>20</v>
      </c>
      <c r="G23" s="21" t="s">
        <v>21</v>
      </c>
      <c r="H23" s="21" t="s">
        <v>70</v>
      </c>
      <c r="I23" s="21" t="s">
        <v>23</v>
      </c>
      <c r="J23" s="23">
        <v>34918.1</v>
      </c>
      <c r="K23" s="23">
        <v>49883</v>
      </c>
      <c r="L23" s="52">
        <f>IFERROR('RTK andmebaas'!$J23/'RTK andmebaas'!$K23,"")</f>
        <v>0.7</v>
      </c>
      <c r="M23" s="21" t="s">
        <v>24</v>
      </c>
      <c r="N23" s="24">
        <v>45784</v>
      </c>
      <c r="O23" s="25">
        <f t="shared" si="0"/>
        <v>2025</v>
      </c>
      <c r="P23" s="21" t="s">
        <v>25</v>
      </c>
      <c r="Q23" s="21" t="s">
        <v>26</v>
      </c>
      <c r="R23" s="21" t="s">
        <v>27</v>
      </c>
      <c r="S23" s="21" t="s">
        <v>23</v>
      </c>
      <c r="T23" s="22">
        <v>231540</v>
      </c>
      <c r="U23" s="73"/>
    </row>
    <row r="24" spans="1:21" ht="14" customHeight="1" x14ac:dyDescent="0.35">
      <c r="A24" s="69" t="s">
        <v>82</v>
      </c>
      <c r="B24" s="27" t="s">
        <v>83</v>
      </c>
      <c r="C24" s="27" t="s">
        <v>82</v>
      </c>
      <c r="D24" s="28">
        <v>10053718</v>
      </c>
      <c r="E24" s="27" t="s">
        <v>19</v>
      </c>
      <c r="F24" s="27" t="s">
        <v>35</v>
      </c>
      <c r="G24" s="27" t="s">
        <v>21</v>
      </c>
      <c r="H24" s="67" t="s">
        <v>84</v>
      </c>
      <c r="I24" s="27" t="s">
        <v>23</v>
      </c>
      <c r="J24" s="29">
        <v>229800</v>
      </c>
      <c r="K24" s="29">
        <v>383000</v>
      </c>
      <c r="L24" s="53">
        <f>IFERROR('RTK andmebaas'!$J24/'RTK andmebaas'!$K24,"")</f>
        <v>0.6</v>
      </c>
      <c r="M24" s="27" t="s">
        <v>24</v>
      </c>
      <c r="N24" s="19">
        <v>45784</v>
      </c>
      <c r="O24" s="20">
        <f t="shared" si="0"/>
        <v>2025</v>
      </c>
      <c r="P24" s="27" t="s">
        <v>25</v>
      </c>
      <c r="Q24" s="27" t="s">
        <v>26</v>
      </c>
      <c r="R24" s="27" t="s">
        <v>27</v>
      </c>
      <c r="S24" s="27" t="s">
        <v>23</v>
      </c>
      <c r="T24" s="28">
        <v>231540</v>
      </c>
      <c r="U24" s="74"/>
    </row>
    <row r="25" spans="1:21" ht="14" customHeight="1" x14ac:dyDescent="0.35">
      <c r="A25" s="68" t="s">
        <v>85</v>
      </c>
      <c r="B25" s="21" t="s">
        <v>86</v>
      </c>
      <c r="C25" s="21" t="s">
        <v>85</v>
      </c>
      <c r="D25" s="22">
        <v>10084831</v>
      </c>
      <c r="E25" s="21" t="s">
        <v>19</v>
      </c>
      <c r="F25" s="21" t="s">
        <v>35</v>
      </c>
      <c r="G25" s="21" t="s">
        <v>21</v>
      </c>
      <c r="H25" s="21" t="s">
        <v>87</v>
      </c>
      <c r="I25" s="21" t="s">
        <v>23</v>
      </c>
      <c r="J25" s="23">
        <v>82404</v>
      </c>
      <c r="K25" s="23">
        <v>137340</v>
      </c>
      <c r="L25" s="52">
        <f>IFERROR('RTK andmebaas'!$J25/'RTK andmebaas'!$K25,"")</f>
        <v>0.6</v>
      </c>
      <c r="M25" s="21" t="s">
        <v>24</v>
      </c>
      <c r="N25" s="24">
        <v>45782</v>
      </c>
      <c r="O25" s="25">
        <f t="shared" si="0"/>
        <v>2025</v>
      </c>
      <c r="P25" s="21" t="s">
        <v>25</v>
      </c>
      <c r="Q25" s="21" t="s">
        <v>26</v>
      </c>
      <c r="R25" s="21" t="s">
        <v>27</v>
      </c>
      <c r="S25" s="21" t="s">
        <v>23</v>
      </c>
      <c r="T25" s="22">
        <v>231540</v>
      </c>
      <c r="U25" s="73"/>
    </row>
    <row r="26" spans="1:21" ht="14" customHeight="1" x14ac:dyDescent="0.35">
      <c r="A26" s="69" t="s">
        <v>88</v>
      </c>
      <c r="B26" s="27" t="s">
        <v>89</v>
      </c>
      <c r="C26" s="27" t="s">
        <v>88</v>
      </c>
      <c r="D26" s="28">
        <v>10097905</v>
      </c>
      <c r="E26" s="27" t="s">
        <v>19</v>
      </c>
      <c r="F26" s="27" t="s">
        <v>35</v>
      </c>
      <c r="G26" s="27" t="s">
        <v>21</v>
      </c>
      <c r="H26" s="27" t="s">
        <v>90</v>
      </c>
      <c r="I26" s="27" t="s">
        <v>23</v>
      </c>
      <c r="J26" s="29">
        <v>59610</v>
      </c>
      <c r="K26" s="29">
        <v>119220</v>
      </c>
      <c r="L26" s="53">
        <f>IFERROR('RTK andmebaas'!$J26/'RTK andmebaas'!$K26,"")</f>
        <v>0.5</v>
      </c>
      <c r="M26" s="27" t="s">
        <v>24</v>
      </c>
      <c r="N26" s="19">
        <v>45781</v>
      </c>
      <c r="O26" s="20">
        <f t="shared" si="0"/>
        <v>2025</v>
      </c>
      <c r="P26" s="27" t="s">
        <v>25</v>
      </c>
      <c r="Q26" s="27" t="s">
        <v>26</v>
      </c>
      <c r="R26" s="27" t="s">
        <v>27</v>
      </c>
      <c r="S26" s="27" t="s">
        <v>23</v>
      </c>
      <c r="T26" s="28">
        <v>231540</v>
      </c>
      <c r="U26" s="74"/>
    </row>
    <row r="27" spans="1:21" ht="14" customHeight="1" x14ac:dyDescent="0.35">
      <c r="A27" s="68" t="s">
        <v>91</v>
      </c>
      <c r="B27" s="21" t="s">
        <v>92</v>
      </c>
      <c r="C27" s="21" t="s">
        <v>91</v>
      </c>
      <c r="D27" s="22">
        <v>16483101</v>
      </c>
      <c r="E27" s="21" t="s">
        <v>19</v>
      </c>
      <c r="F27" s="21" t="s">
        <v>93</v>
      </c>
      <c r="G27" s="21" t="s">
        <v>21</v>
      </c>
      <c r="H27" s="21" t="s">
        <v>94</v>
      </c>
      <c r="I27" s="21" t="s">
        <v>23</v>
      </c>
      <c r="J27" s="23">
        <v>31000</v>
      </c>
      <c r="K27" s="23">
        <v>62000</v>
      </c>
      <c r="L27" s="52">
        <f>IFERROR('RTK andmebaas'!$J27/'RTK andmebaas'!$K27,"")</f>
        <v>0.5</v>
      </c>
      <c r="M27" s="21" t="s">
        <v>24</v>
      </c>
      <c r="N27" s="24">
        <v>45777</v>
      </c>
      <c r="O27" s="25">
        <f t="shared" si="0"/>
        <v>2025</v>
      </c>
      <c r="P27" s="21" t="s">
        <v>25</v>
      </c>
      <c r="Q27" s="21" t="s">
        <v>26</v>
      </c>
      <c r="R27" s="21" t="s">
        <v>27</v>
      </c>
      <c r="S27" s="21" t="s">
        <v>23</v>
      </c>
      <c r="T27" s="22">
        <v>231540</v>
      </c>
      <c r="U27" s="73"/>
    </row>
    <row r="28" spans="1:21" ht="14" customHeight="1" x14ac:dyDescent="0.35">
      <c r="A28" s="69" t="s">
        <v>95</v>
      </c>
      <c r="B28" s="27" t="s">
        <v>96</v>
      </c>
      <c r="C28" s="27" t="s">
        <v>95</v>
      </c>
      <c r="D28" s="28">
        <v>14583784</v>
      </c>
      <c r="E28" s="27" t="s">
        <v>19</v>
      </c>
      <c r="F28" s="27" t="s">
        <v>46</v>
      </c>
      <c r="G28" s="27" t="s">
        <v>21</v>
      </c>
      <c r="H28" s="27" t="s">
        <v>97</v>
      </c>
      <c r="I28" s="27" t="s">
        <v>23</v>
      </c>
      <c r="J28" s="29">
        <v>117248.67</v>
      </c>
      <c r="K28" s="29">
        <v>167498.1</v>
      </c>
      <c r="L28" s="53">
        <f>IFERROR('RTK andmebaas'!$J28/'RTK andmebaas'!$K28,"")</f>
        <v>0.7</v>
      </c>
      <c r="M28" s="27" t="s">
        <v>24</v>
      </c>
      <c r="N28" s="19">
        <v>45776</v>
      </c>
      <c r="O28" s="20">
        <f t="shared" si="0"/>
        <v>2025</v>
      </c>
      <c r="P28" s="27" t="s">
        <v>25</v>
      </c>
      <c r="Q28" s="27" t="s">
        <v>26</v>
      </c>
      <c r="R28" s="27" t="s">
        <v>27</v>
      </c>
      <c r="S28" s="27" t="s">
        <v>23</v>
      </c>
      <c r="T28" s="28">
        <v>231540</v>
      </c>
      <c r="U28" s="74"/>
    </row>
    <row r="29" spans="1:21" ht="14" customHeight="1" x14ac:dyDescent="0.35">
      <c r="A29" s="68" t="s">
        <v>98</v>
      </c>
      <c r="B29" s="21" t="s">
        <v>96</v>
      </c>
      <c r="C29" s="21" t="s">
        <v>98</v>
      </c>
      <c r="D29" s="22">
        <v>14583784</v>
      </c>
      <c r="E29" s="21" t="s">
        <v>19</v>
      </c>
      <c r="F29" s="21" t="s">
        <v>46</v>
      </c>
      <c r="G29" s="21" t="s">
        <v>21</v>
      </c>
      <c r="H29" s="21" t="s">
        <v>97</v>
      </c>
      <c r="I29" s="21" t="s">
        <v>23</v>
      </c>
      <c r="J29" s="23">
        <v>24797.119999999999</v>
      </c>
      <c r="K29" s="23">
        <v>35424.46</v>
      </c>
      <c r="L29" s="52">
        <f>IFERROR('RTK andmebaas'!$J29/'RTK andmebaas'!$K29,"")</f>
        <v>0.69999994354183526</v>
      </c>
      <c r="M29" s="21" t="s">
        <v>24</v>
      </c>
      <c r="N29" s="24">
        <v>45776</v>
      </c>
      <c r="O29" s="25">
        <f t="shared" si="0"/>
        <v>2025</v>
      </c>
      <c r="P29" s="21" t="s">
        <v>25</v>
      </c>
      <c r="Q29" s="21" t="s">
        <v>26</v>
      </c>
      <c r="R29" s="21" t="s">
        <v>27</v>
      </c>
      <c r="S29" s="21" t="s">
        <v>23</v>
      </c>
      <c r="T29" s="22">
        <v>231540</v>
      </c>
      <c r="U29" s="73"/>
    </row>
    <row r="30" spans="1:21" ht="14" customHeight="1" x14ac:dyDescent="0.35">
      <c r="A30" s="69" t="s">
        <v>99</v>
      </c>
      <c r="B30" s="27" t="s">
        <v>100</v>
      </c>
      <c r="C30" s="27" t="s">
        <v>99</v>
      </c>
      <c r="D30" s="28">
        <v>10843455</v>
      </c>
      <c r="E30" s="27" t="s">
        <v>19</v>
      </c>
      <c r="F30" s="27" t="s">
        <v>35</v>
      </c>
      <c r="G30" s="27" t="s">
        <v>21</v>
      </c>
      <c r="H30" s="27" t="s">
        <v>101</v>
      </c>
      <c r="I30" s="27" t="s">
        <v>23</v>
      </c>
      <c r="J30" s="29">
        <v>141949.43</v>
      </c>
      <c r="K30" s="29">
        <v>236582.38</v>
      </c>
      <c r="L30" s="53">
        <f>IFERROR('RTK andmebaas'!$J30/'RTK andmebaas'!$K30,"")</f>
        <v>0.60000000845371493</v>
      </c>
      <c r="M30" s="27" t="s">
        <v>24</v>
      </c>
      <c r="N30" s="19">
        <v>45776</v>
      </c>
      <c r="O30" s="20">
        <f t="shared" si="0"/>
        <v>2025</v>
      </c>
      <c r="P30" s="27" t="s">
        <v>25</v>
      </c>
      <c r="Q30" s="27" t="s">
        <v>26</v>
      </c>
      <c r="R30" s="27" t="s">
        <v>27</v>
      </c>
      <c r="S30" s="27" t="s">
        <v>23</v>
      </c>
      <c r="T30" s="28">
        <v>231540</v>
      </c>
      <c r="U30" s="74"/>
    </row>
    <row r="31" spans="1:21" ht="14" customHeight="1" x14ac:dyDescent="0.35">
      <c r="A31" s="68" t="s">
        <v>102</v>
      </c>
      <c r="B31" s="21" t="s">
        <v>103</v>
      </c>
      <c r="C31" s="21" t="s">
        <v>102</v>
      </c>
      <c r="D31" s="22">
        <v>12125020</v>
      </c>
      <c r="E31" s="21" t="s">
        <v>19</v>
      </c>
      <c r="F31" s="21" t="s">
        <v>20</v>
      </c>
      <c r="G31" s="21" t="s">
        <v>21</v>
      </c>
      <c r="H31" s="21" t="s">
        <v>104</v>
      </c>
      <c r="I31" s="21" t="s">
        <v>23</v>
      </c>
      <c r="J31" s="23">
        <v>10488.8</v>
      </c>
      <c r="K31" s="23">
        <v>14984</v>
      </c>
      <c r="L31" s="52">
        <f>IFERROR('RTK andmebaas'!$J31/'RTK andmebaas'!$K31,"")</f>
        <v>0.7</v>
      </c>
      <c r="M31" s="21" t="s">
        <v>24</v>
      </c>
      <c r="N31" s="24">
        <v>45776</v>
      </c>
      <c r="O31" s="25">
        <f t="shared" si="0"/>
        <v>2025</v>
      </c>
      <c r="P31" s="21" t="s">
        <v>25</v>
      </c>
      <c r="Q31" s="21" t="s">
        <v>26</v>
      </c>
      <c r="R31" s="21" t="s">
        <v>27</v>
      </c>
      <c r="S31" s="21" t="s">
        <v>23</v>
      </c>
      <c r="T31" s="22">
        <v>231540</v>
      </c>
      <c r="U31" s="73"/>
    </row>
    <row r="32" spans="1:21" ht="14" customHeight="1" x14ac:dyDescent="0.35">
      <c r="A32" s="69" t="s">
        <v>105</v>
      </c>
      <c r="B32" s="27" t="s">
        <v>106</v>
      </c>
      <c r="C32" s="27" t="s">
        <v>105</v>
      </c>
      <c r="D32" s="28">
        <v>12541362</v>
      </c>
      <c r="E32" s="27" t="s">
        <v>19</v>
      </c>
      <c r="F32" s="27" t="s">
        <v>93</v>
      </c>
      <c r="G32" s="27" t="s">
        <v>21</v>
      </c>
      <c r="H32" s="27" t="s">
        <v>107</v>
      </c>
      <c r="I32" s="27" t="s">
        <v>23</v>
      </c>
      <c r="J32" s="29">
        <v>80000</v>
      </c>
      <c r="K32" s="29">
        <v>200000</v>
      </c>
      <c r="L32" s="53">
        <f>IFERROR('RTK andmebaas'!$J32/'RTK andmebaas'!$K32,"")</f>
        <v>0.4</v>
      </c>
      <c r="M32" s="27" t="s">
        <v>24</v>
      </c>
      <c r="N32" s="19">
        <v>45775</v>
      </c>
      <c r="O32" s="20">
        <f t="shared" si="0"/>
        <v>2025</v>
      </c>
      <c r="P32" s="27" t="s">
        <v>25</v>
      </c>
      <c r="Q32" s="27" t="s">
        <v>26</v>
      </c>
      <c r="R32" s="27" t="s">
        <v>27</v>
      </c>
      <c r="S32" s="27" t="s">
        <v>23</v>
      </c>
      <c r="T32" s="28">
        <v>231540</v>
      </c>
      <c r="U32" s="74"/>
    </row>
    <row r="33" spans="1:21" ht="14" customHeight="1" x14ac:dyDescent="0.35">
      <c r="A33" s="68" t="s">
        <v>108</v>
      </c>
      <c r="B33" s="21" t="s">
        <v>109</v>
      </c>
      <c r="C33" s="21" t="s">
        <v>108</v>
      </c>
      <c r="D33" s="22">
        <v>10005091</v>
      </c>
      <c r="E33" s="21" t="s">
        <v>19</v>
      </c>
      <c r="F33" s="21" t="s">
        <v>35</v>
      </c>
      <c r="G33" s="21" t="s">
        <v>21</v>
      </c>
      <c r="H33" s="21" t="s">
        <v>47</v>
      </c>
      <c r="I33" s="21" t="s">
        <v>23</v>
      </c>
      <c r="J33" s="23">
        <v>122989.2</v>
      </c>
      <c r="K33" s="23">
        <v>204982</v>
      </c>
      <c r="L33" s="52">
        <f>IFERROR('RTK andmebaas'!$J33/'RTK andmebaas'!$K33,"")</f>
        <v>0.6</v>
      </c>
      <c r="M33" s="21" t="s">
        <v>24</v>
      </c>
      <c r="N33" s="24">
        <v>45771</v>
      </c>
      <c r="O33" s="25">
        <f t="shared" si="0"/>
        <v>2025</v>
      </c>
      <c r="P33" s="21" t="s">
        <v>25</v>
      </c>
      <c r="Q33" s="21" t="s">
        <v>26</v>
      </c>
      <c r="R33" s="21" t="s">
        <v>27</v>
      </c>
      <c r="S33" s="21" t="s">
        <v>23</v>
      </c>
      <c r="T33" s="22">
        <v>231540</v>
      </c>
      <c r="U33" s="73"/>
    </row>
    <row r="34" spans="1:21" ht="14" customHeight="1" x14ac:dyDescent="0.35">
      <c r="A34" s="69" t="s">
        <v>110</v>
      </c>
      <c r="B34" s="27" t="s">
        <v>111</v>
      </c>
      <c r="C34" s="27" t="s">
        <v>110</v>
      </c>
      <c r="D34" s="28">
        <v>12667382</v>
      </c>
      <c r="E34" s="27" t="s">
        <v>19</v>
      </c>
      <c r="F34" s="27" t="s">
        <v>46</v>
      </c>
      <c r="G34" s="27" t="s">
        <v>21</v>
      </c>
      <c r="H34" s="27" t="s">
        <v>112</v>
      </c>
      <c r="I34" s="27" t="s">
        <v>23</v>
      </c>
      <c r="J34" s="29">
        <v>17185</v>
      </c>
      <c r="K34" s="29">
        <v>24550</v>
      </c>
      <c r="L34" s="53">
        <f>IFERROR('RTK andmebaas'!$J34/'RTK andmebaas'!$K34,"")</f>
        <v>0.7</v>
      </c>
      <c r="M34" s="27" t="s">
        <v>24</v>
      </c>
      <c r="N34" s="19">
        <v>45770</v>
      </c>
      <c r="O34" s="20">
        <f t="shared" si="0"/>
        <v>2025</v>
      </c>
      <c r="P34" s="27" t="s">
        <v>25</v>
      </c>
      <c r="Q34" s="27" t="s">
        <v>26</v>
      </c>
      <c r="R34" s="27" t="s">
        <v>27</v>
      </c>
      <c r="S34" s="27" t="s">
        <v>23</v>
      </c>
      <c r="T34" s="28">
        <v>231540</v>
      </c>
      <c r="U34" s="74"/>
    </row>
    <row r="35" spans="1:21" ht="14" customHeight="1" x14ac:dyDescent="0.35">
      <c r="A35" s="68" t="s">
        <v>113</v>
      </c>
      <c r="B35" s="21" t="s">
        <v>114</v>
      </c>
      <c r="C35" s="21" t="s">
        <v>113</v>
      </c>
      <c r="D35" s="22">
        <v>10084848</v>
      </c>
      <c r="E35" s="21" t="s">
        <v>19</v>
      </c>
      <c r="F35" s="21" t="s">
        <v>20</v>
      </c>
      <c r="G35" s="21" t="s">
        <v>21</v>
      </c>
      <c r="H35" s="21" t="s">
        <v>115</v>
      </c>
      <c r="I35" s="21" t="s">
        <v>23</v>
      </c>
      <c r="J35" s="23">
        <v>53580.02</v>
      </c>
      <c r="K35" s="23">
        <v>76542.880000000005</v>
      </c>
      <c r="L35" s="52">
        <f>IFERROR('RTK andmebaas'!$J35/'RTK andmebaas'!$K35,"")</f>
        <v>0.70000005225828965</v>
      </c>
      <c r="M35" s="21" t="s">
        <v>24</v>
      </c>
      <c r="N35" s="24">
        <v>45769</v>
      </c>
      <c r="O35" s="25">
        <f t="shared" si="0"/>
        <v>2025</v>
      </c>
      <c r="P35" s="21" t="s">
        <v>25</v>
      </c>
      <c r="Q35" s="21" t="s">
        <v>26</v>
      </c>
      <c r="R35" s="21" t="s">
        <v>27</v>
      </c>
      <c r="S35" s="21" t="s">
        <v>23</v>
      </c>
      <c r="T35" s="22">
        <v>231540</v>
      </c>
      <c r="U35" s="73"/>
    </row>
    <row r="36" spans="1:21" ht="14" customHeight="1" x14ac:dyDescent="0.35">
      <c r="A36" s="69" t="s">
        <v>116</v>
      </c>
      <c r="B36" s="27" t="s">
        <v>117</v>
      </c>
      <c r="C36" s="27" t="s">
        <v>116</v>
      </c>
      <c r="D36" s="28">
        <v>10974750</v>
      </c>
      <c r="E36" s="27" t="s">
        <v>19</v>
      </c>
      <c r="F36" s="27" t="s">
        <v>20</v>
      </c>
      <c r="G36" s="27" t="s">
        <v>21</v>
      </c>
      <c r="H36" s="27" t="s">
        <v>118</v>
      </c>
      <c r="I36" s="27" t="s">
        <v>23</v>
      </c>
      <c r="J36" s="29">
        <v>17531.5</v>
      </c>
      <c r="K36" s="29">
        <v>25045</v>
      </c>
      <c r="L36" s="53">
        <f>IFERROR('RTK andmebaas'!$J36/'RTK andmebaas'!$K36,"")</f>
        <v>0.7</v>
      </c>
      <c r="M36" s="27" t="s">
        <v>24</v>
      </c>
      <c r="N36" s="19">
        <v>45764</v>
      </c>
      <c r="O36" s="20">
        <f t="shared" si="0"/>
        <v>2025</v>
      </c>
      <c r="P36" s="27" t="s">
        <v>25</v>
      </c>
      <c r="Q36" s="27" t="s">
        <v>26</v>
      </c>
      <c r="R36" s="27" t="s">
        <v>27</v>
      </c>
      <c r="S36" s="27" t="s">
        <v>23</v>
      </c>
      <c r="T36" s="28">
        <v>231540</v>
      </c>
      <c r="U36" s="74"/>
    </row>
    <row r="37" spans="1:21" ht="14" customHeight="1" x14ac:dyDescent="0.35">
      <c r="A37" s="68" t="s">
        <v>119</v>
      </c>
      <c r="B37" s="21" t="s">
        <v>120</v>
      </c>
      <c r="C37" s="21" t="s">
        <v>119</v>
      </c>
      <c r="D37" s="22">
        <v>12423131</v>
      </c>
      <c r="E37" s="21" t="s">
        <v>19</v>
      </c>
      <c r="F37" s="21" t="s">
        <v>46</v>
      </c>
      <c r="G37" s="21" t="s">
        <v>21</v>
      </c>
      <c r="H37" s="21" t="s">
        <v>121</v>
      </c>
      <c r="I37" s="21" t="s">
        <v>23</v>
      </c>
      <c r="J37" s="23">
        <v>83613.91</v>
      </c>
      <c r="K37" s="23">
        <v>139356.51999999999</v>
      </c>
      <c r="L37" s="52">
        <f>IFERROR('RTK andmebaas'!$J37/'RTK andmebaas'!$K37,"")</f>
        <v>0.59999998564832135</v>
      </c>
      <c r="M37" s="21" t="s">
        <v>24</v>
      </c>
      <c r="N37" s="24">
        <v>45762</v>
      </c>
      <c r="O37" s="25">
        <f t="shared" si="0"/>
        <v>2025</v>
      </c>
      <c r="P37" s="21" t="s">
        <v>25</v>
      </c>
      <c r="Q37" s="21" t="s">
        <v>26</v>
      </c>
      <c r="R37" s="21" t="s">
        <v>27</v>
      </c>
      <c r="S37" s="21" t="s">
        <v>23</v>
      </c>
      <c r="T37" s="22">
        <v>231540</v>
      </c>
      <c r="U37" s="73"/>
    </row>
    <row r="38" spans="1:21" ht="14" customHeight="1" x14ac:dyDescent="0.35">
      <c r="A38" s="69" t="s">
        <v>122</v>
      </c>
      <c r="B38" s="27" t="s">
        <v>123</v>
      </c>
      <c r="C38" s="27" t="s">
        <v>630</v>
      </c>
      <c r="D38" s="28">
        <v>14168513</v>
      </c>
      <c r="E38" s="27" t="s">
        <v>19</v>
      </c>
      <c r="F38" s="27" t="s">
        <v>93</v>
      </c>
      <c r="G38" s="27" t="s">
        <v>21</v>
      </c>
      <c r="H38" s="27" t="s">
        <v>94</v>
      </c>
      <c r="I38" s="27" t="s">
        <v>23</v>
      </c>
      <c r="J38" s="29">
        <v>19750</v>
      </c>
      <c r="K38" s="29">
        <v>25000</v>
      </c>
      <c r="L38" s="53">
        <f>IFERROR('RTK andmebaas'!$J38/'RTK andmebaas'!$K38,"")</f>
        <v>0.79</v>
      </c>
      <c r="M38" s="27" t="s">
        <v>24</v>
      </c>
      <c r="N38" s="19">
        <v>45756</v>
      </c>
      <c r="O38" s="20">
        <f t="shared" si="0"/>
        <v>2025</v>
      </c>
      <c r="P38" s="27" t="s">
        <v>25</v>
      </c>
      <c r="Q38" s="27" t="s">
        <v>26</v>
      </c>
      <c r="R38" s="27" t="s">
        <v>27</v>
      </c>
      <c r="S38" s="27" t="s">
        <v>23</v>
      </c>
      <c r="T38" s="28">
        <v>231540</v>
      </c>
      <c r="U38" s="74"/>
    </row>
    <row r="39" spans="1:21" ht="14" customHeight="1" x14ac:dyDescent="0.35">
      <c r="A39" s="68" t="s">
        <v>124</v>
      </c>
      <c r="B39" s="21" t="s">
        <v>125</v>
      </c>
      <c r="C39" s="21" t="s">
        <v>124</v>
      </c>
      <c r="D39" s="22">
        <v>10099672</v>
      </c>
      <c r="E39" s="21" t="s">
        <v>19</v>
      </c>
      <c r="F39" s="21" t="s">
        <v>35</v>
      </c>
      <c r="G39" s="21" t="s">
        <v>21</v>
      </c>
      <c r="H39" s="21" t="s">
        <v>97</v>
      </c>
      <c r="I39" s="21" t="s">
        <v>23</v>
      </c>
      <c r="J39" s="23">
        <v>116264</v>
      </c>
      <c r="K39" s="23">
        <v>232528</v>
      </c>
      <c r="L39" s="52">
        <f>IFERROR('RTK andmebaas'!$J39/'RTK andmebaas'!$K39,"")</f>
        <v>0.5</v>
      </c>
      <c r="M39" s="21" t="s">
        <v>24</v>
      </c>
      <c r="N39" s="24">
        <v>45755</v>
      </c>
      <c r="O39" s="25">
        <f t="shared" si="0"/>
        <v>2025</v>
      </c>
      <c r="P39" s="21" t="s">
        <v>25</v>
      </c>
      <c r="Q39" s="21" t="s">
        <v>26</v>
      </c>
      <c r="R39" s="21" t="s">
        <v>27</v>
      </c>
      <c r="S39" s="21" t="s">
        <v>23</v>
      </c>
      <c r="T39" s="22">
        <v>231540</v>
      </c>
      <c r="U39" s="73"/>
    </row>
    <row r="40" spans="1:21" ht="14" customHeight="1" x14ac:dyDescent="0.35">
      <c r="A40" s="69" t="s">
        <v>126</v>
      </c>
      <c r="B40" s="27" t="s">
        <v>127</v>
      </c>
      <c r="C40" s="27" t="s">
        <v>126</v>
      </c>
      <c r="D40" s="28">
        <v>10333719</v>
      </c>
      <c r="E40" s="27" t="s">
        <v>19</v>
      </c>
      <c r="F40" s="27" t="s">
        <v>93</v>
      </c>
      <c r="G40" s="27" t="s">
        <v>21</v>
      </c>
      <c r="H40" s="27" t="s">
        <v>47</v>
      </c>
      <c r="I40" s="27" t="s">
        <v>23</v>
      </c>
      <c r="J40" s="29">
        <v>100000</v>
      </c>
      <c r="K40" s="29">
        <v>250000</v>
      </c>
      <c r="L40" s="53">
        <f>IFERROR('RTK andmebaas'!$J40/'RTK andmebaas'!$K40,"")</f>
        <v>0.4</v>
      </c>
      <c r="M40" s="27" t="s">
        <v>24</v>
      </c>
      <c r="N40" s="19">
        <v>45751</v>
      </c>
      <c r="O40" s="20">
        <f t="shared" si="0"/>
        <v>2025</v>
      </c>
      <c r="P40" s="27" t="s">
        <v>25</v>
      </c>
      <c r="Q40" s="27" t="s">
        <v>26</v>
      </c>
      <c r="R40" s="27" t="s">
        <v>27</v>
      </c>
      <c r="S40" s="27" t="s">
        <v>23</v>
      </c>
      <c r="T40" s="28">
        <v>231540</v>
      </c>
      <c r="U40" s="74"/>
    </row>
    <row r="41" spans="1:21" ht="14" customHeight="1" x14ac:dyDescent="0.35">
      <c r="A41" s="68" t="s">
        <v>128</v>
      </c>
      <c r="B41" s="21" t="s">
        <v>129</v>
      </c>
      <c r="C41" s="21" t="s">
        <v>128</v>
      </c>
      <c r="D41" s="22">
        <v>14446099</v>
      </c>
      <c r="E41" s="21" t="s">
        <v>19</v>
      </c>
      <c r="F41" s="21" t="s">
        <v>20</v>
      </c>
      <c r="G41" s="21" t="s">
        <v>21</v>
      </c>
      <c r="H41" s="21" t="s">
        <v>130</v>
      </c>
      <c r="I41" s="21" t="s">
        <v>23</v>
      </c>
      <c r="J41" s="23">
        <v>38779.65</v>
      </c>
      <c r="K41" s="23">
        <v>55399.5</v>
      </c>
      <c r="L41" s="52">
        <f>IFERROR('RTK andmebaas'!$J41/'RTK andmebaas'!$K41,"")</f>
        <v>0.70000000000000007</v>
      </c>
      <c r="M41" s="21" t="s">
        <v>24</v>
      </c>
      <c r="N41" s="24">
        <v>45751</v>
      </c>
      <c r="O41" s="25">
        <f t="shared" si="0"/>
        <v>2025</v>
      </c>
      <c r="P41" s="21" t="s">
        <v>25</v>
      </c>
      <c r="Q41" s="21" t="s">
        <v>26</v>
      </c>
      <c r="R41" s="21" t="s">
        <v>27</v>
      </c>
      <c r="S41" s="21" t="s">
        <v>23</v>
      </c>
      <c r="T41" s="22">
        <v>231540</v>
      </c>
      <c r="U41" s="73"/>
    </row>
    <row r="42" spans="1:21" ht="14" customHeight="1" x14ac:dyDescent="0.35">
      <c r="A42" s="69" t="s">
        <v>131</v>
      </c>
      <c r="B42" s="27" t="s">
        <v>132</v>
      </c>
      <c r="C42" s="27" t="s">
        <v>131</v>
      </c>
      <c r="D42" s="28">
        <v>11189064</v>
      </c>
      <c r="E42" s="27" t="s">
        <v>19</v>
      </c>
      <c r="F42" s="27" t="s">
        <v>93</v>
      </c>
      <c r="G42" s="27" t="s">
        <v>21</v>
      </c>
      <c r="H42" s="27" t="s">
        <v>133</v>
      </c>
      <c r="I42" s="27" t="s">
        <v>23</v>
      </c>
      <c r="J42" s="29">
        <v>65003.08</v>
      </c>
      <c r="K42" s="29">
        <v>130006.16</v>
      </c>
      <c r="L42" s="53">
        <f>IFERROR('RTK andmebaas'!$J42/'RTK andmebaas'!$K42,"")</f>
        <v>0.5</v>
      </c>
      <c r="M42" s="27" t="s">
        <v>24</v>
      </c>
      <c r="N42" s="19">
        <v>45744</v>
      </c>
      <c r="O42" s="20">
        <f t="shared" si="0"/>
        <v>2025</v>
      </c>
      <c r="P42" s="27" t="s">
        <v>25</v>
      </c>
      <c r="Q42" s="27" t="s">
        <v>26</v>
      </c>
      <c r="R42" s="27" t="s">
        <v>27</v>
      </c>
      <c r="S42" s="27" t="s">
        <v>23</v>
      </c>
      <c r="T42" s="28">
        <v>231540</v>
      </c>
      <c r="U42" s="74"/>
    </row>
    <row r="43" spans="1:21" ht="14" customHeight="1" x14ac:dyDescent="0.35">
      <c r="A43" s="68" t="s">
        <v>134</v>
      </c>
      <c r="B43" s="21" t="s">
        <v>135</v>
      </c>
      <c r="C43" s="21" t="s">
        <v>134</v>
      </c>
      <c r="D43" s="22">
        <v>11015140</v>
      </c>
      <c r="E43" s="21" t="s">
        <v>19</v>
      </c>
      <c r="F43" s="21" t="s">
        <v>20</v>
      </c>
      <c r="G43" s="21" t="s">
        <v>21</v>
      </c>
      <c r="H43" s="21" t="s">
        <v>136</v>
      </c>
      <c r="I43" s="21" t="s">
        <v>23</v>
      </c>
      <c r="J43" s="23">
        <v>81134.570000000007</v>
      </c>
      <c r="K43" s="23">
        <v>115906.53</v>
      </c>
      <c r="L43" s="52">
        <f>IFERROR('RTK andmebaas'!$J43/'RTK andmebaas'!$K43,"")</f>
        <v>0.69999999137235847</v>
      </c>
      <c r="M43" s="21" t="s">
        <v>24</v>
      </c>
      <c r="N43" s="24">
        <v>45742</v>
      </c>
      <c r="O43" s="25">
        <f t="shared" si="0"/>
        <v>2025</v>
      </c>
      <c r="P43" s="21" t="s">
        <v>25</v>
      </c>
      <c r="Q43" s="21" t="s">
        <v>26</v>
      </c>
      <c r="R43" s="21" t="s">
        <v>27</v>
      </c>
      <c r="S43" s="21" t="s">
        <v>23</v>
      </c>
      <c r="T43" s="22">
        <v>231540</v>
      </c>
      <c r="U43" s="73"/>
    </row>
    <row r="44" spans="1:21" ht="14" customHeight="1" x14ac:dyDescent="0.35">
      <c r="A44" s="69" t="s">
        <v>137</v>
      </c>
      <c r="B44" s="27" t="s">
        <v>138</v>
      </c>
      <c r="C44" s="27" t="s">
        <v>137</v>
      </c>
      <c r="D44" s="28">
        <v>11011627</v>
      </c>
      <c r="E44" s="27" t="s">
        <v>19</v>
      </c>
      <c r="F44" s="27" t="s">
        <v>93</v>
      </c>
      <c r="G44" s="27" t="s">
        <v>21</v>
      </c>
      <c r="H44" s="27" t="s">
        <v>36</v>
      </c>
      <c r="I44" s="27" t="s">
        <v>23</v>
      </c>
      <c r="J44" s="29">
        <v>236190</v>
      </c>
      <c r="K44" s="29">
        <v>472380</v>
      </c>
      <c r="L44" s="53">
        <f>IFERROR('RTK andmebaas'!$J44/'RTK andmebaas'!$K44,"")</f>
        <v>0.5</v>
      </c>
      <c r="M44" s="27" t="s">
        <v>24</v>
      </c>
      <c r="N44" s="19">
        <v>45741</v>
      </c>
      <c r="O44" s="20">
        <f t="shared" si="0"/>
        <v>2025</v>
      </c>
      <c r="P44" s="27" t="s">
        <v>25</v>
      </c>
      <c r="Q44" s="27" t="s">
        <v>26</v>
      </c>
      <c r="R44" s="27" t="s">
        <v>27</v>
      </c>
      <c r="S44" s="27" t="s">
        <v>23</v>
      </c>
      <c r="T44" s="28">
        <v>231540</v>
      </c>
      <c r="U44" s="74"/>
    </row>
    <row r="45" spans="1:21" ht="14" customHeight="1" x14ac:dyDescent="0.35">
      <c r="A45" s="68" t="s">
        <v>139</v>
      </c>
      <c r="B45" s="21" t="s">
        <v>140</v>
      </c>
      <c r="C45" s="21" t="s">
        <v>139</v>
      </c>
      <c r="D45" s="22">
        <v>12464029</v>
      </c>
      <c r="E45" s="21" t="s">
        <v>19</v>
      </c>
      <c r="F45" s="21" t="s">
        <v>20</v>
      </c>
      <c r="G45" s="21" t="s">
        <v>21</v>
      </c>
      <c r="H45" s="21" t="s">
        <v>32</v>
      </c>
      <c r="I45" s="21" t="s">
        <v>23</v>
      </c>
      <c r="J45" s="23">
        <v>41217.4</v>
      </c>
      <c r="K45" s="23">
        <v>58882</v>
      </c>
      <c r="L45" s="52">
        <f>IFERROR('RTK andmebaas'!$J45/'RTK andmebaas'!$K45,"")</f>
        <v>0.70000000000000007</v>
      </c>
      <c r="M45" s="21" t="s">
        <v>24</v>
      </c>
      <c r="N45" s="24">
        <v>45740</v>
      </c>
      <c r="O45" s="25">
        <f t="shared" si="0"/>
        <v>2025</v>
      </c>
      <c r="P45" s="21" t="s">
        <v>25</v>
      </c>
      <c r="Q45" s="21" t="s">
        <v>26</v>
      </c>
      <c r="R45" s="21" t="s">
        <v>27</v>
      </c>
      <c r="S45" s="21" t="s">
        <v>23</v>
      </c>
      <c r="T45" s="22">
        <v>231540</v>
      </c>
      <c r="U45" s="73"/>
    </row>
    <row r="46" spans="1:21" ht="14" customHeight="1" x14ac:dyDescent="0.35">
      <c r="A46" s="69" t="s">
        <v>141</v>
      </c>
      <c r="B46" s="27" t="s">
        <v>142</v>
      </c>
      <c r="C46" s="27" t="s">
        <v>141</v>
      </c>
      <c r="D46" s="28">
        <v>11103097</v>
      </c>
      <c r="E46" s="27" t="s">
        <v>19</v>
      </c>
      <c r="F46" s="27" t="s">
        <v>20</v>
      </c>
      <c r="G46" s="27" t="s">
        <v>21</v>
      </c>
      <c r="H46" s="27" t="s">
        <v>32</v>
      </c>
      <c r="I46" s="27" t="s">
        <v>23</v>
      </c>
      <c r="J46" s="29">
        <v>45920</v>
      </c>
      <c r="K46" s="29">
        <v>65600</v>
      </c>
      <c r="L46" s="53">
        <f>IFERROR('RTK andmebaas'!$J46/'RTK andmebaas'!$K46,"")</f>
        <v>0.7</v>
      </c>
      <c r="M46" s="27" t="s">
        <v>24</v>
      </c>
      <c r="N46" s="19">
        <v>45740</v>
      </c>
      <c r="O46" s="20">
        <f t="shared" si="0"/>
        <v>2025</v>
      </c>
      <c r="P46" s="27" t="s">
        <v>25</v>
      </c>
      <c r="Q46" s="27" t="s">
        <v>26</v>
      </c>
      <c r="R46" s="27" t="s">
        <v>27</v>
      </c>
      <c r="S46" s="27" t="s">
        <v>23</v>
      </c>
      <c r="T46" s="28">
        <v>231540</v>
      </c>
      <c r="U46" s="74"/>
    </row>
    <row r="47" spans="1:21" ht="14" customHeight="1" x14ac:dyDescent="0.35">
      <c r="A47" s="68" t="s">
        <v>143</v>
      </c>
      <c r="B47" s="21" t="s">
        <v>144</v>
      </c>
      <c r="C47" s="21" t="s">
        <v>143</v>
      </c>
      <c r="D47" s="22">
        <v>10422722</v>
      </c>
      <c r="E47" s="21" t="s">
        <v>19</v>
      </c>
      <c r="F47" s="21" t="s">
        <v>46</v>
      </c>
      <c r="G47" s="21" t="s">
        <v>21</v>
      </c>
      <c r="H47" s="21" t="s">
        <v>97</v>
      </c>
      <c r="I47" s="21" t="s">
        <v>23</v>
      </c>
      <c r="J47" s="23">
        <v>88270.2</v>
      </c>
      <c r="K47" s="23">
        <v>147117</v>
      </c>
      <c r="L47" s="52">
        <f>IFERROR('RTK andmebaas'!$J47/'RTK andmebaas'!$K47,"")</f>
        <v>0.6</v>
      </c>
      <c r="M47" s="21" t="s">
        <v>24</v>
      </c>
      <c r="N47" s="24">
        <v>45737</v>
      </c>
      <c r="O47" s="25">
        <f t="shared" si="0"/>
        <v>2025</v>
      </c>
      <c r="P47" s="21" t="s">
        <v>25</v>
      </c>
      <c r="Q47" s="21" t="s">
        <v>26</v>
      </c>
      <c r="R47" s="21" t="s">
        <v>27</v>
      </c>
      <c r="S47" s="21" t="s">
        <v>23</v>
      </c>
      <c r="T47" s="22">
        <v>231540</v>
      </c>
      <c r="U47" s="73"/>
    </row>
    <row r="48" spans="1:21" ht="14" customHeight="1" x14ac:dyDescent="0.35">
      <c r="A48" s="69" t="s">
        <v>145</v>
      </c>
      <c r="B48" s="27" t="s">
        <v>146</v>
      </c>
      <c r="C48" s="27" t="s">
        <v>145</v>
      </c>
      <c r="D48" s="28">
        <v>10176674</v>
      </c>
      <c r="E48" s="27" t="s">
        <v>19</v>
      </c>
      <c r="F48" s="27" t="s">
        <v>20</v>
      </c>
      <c r="G48" s="27" t="s">
        <v>21</v>
      </c>
      <c r="H48" s="27" t="s">
        <v>84</v>
      </c>
      <c r="I48" s="27" t="s">
        <v>23</v>
      </c>
      <c r="J48" s="29">
        <v>100061.5</v>
      </c>
      <c r="K48" s="29">
        <v>142945</v>
      </c>
      <c r="L48" s="53">
        <f>IFERROR('RTK andmebaas'!$J48/'RTK andmebaas'!$K48,"")</f>
        <v>0.7</v>
      </c>
      <c r="M48" s="27" t="s">
        <v>24</v>
      </c>
      <c r="N48" s="19">
        <v>45736</v>
      </c>
      <c r="O48" s="20">
        <f t="shared" si="0"/>
        <v>2025</v>
      </c>
      <c r="P48" s="27" t="s">
        <v>25</v>
      </c>
      <c r="Q48" s="27" t="s">
        <v>26</v>
      </c>
      <c r="R48" s="27" t="s">
        <v>27</v>
      </c>
      <c r="S48" s="27" t="s">
        <v>23</v>
      </c>
      <c r="T48" s="28">
        <v>231540</v>
      </c>
      <c r="U48" s="74"/>
    </row>
    <row r="49" spans="1:21" ht="14" customHeight="1" x14ac:dyDescent="0.35">
      <c r="A49" s="68" t="s">
        <v>147</v>
      </c>
      <c r="B49" s="21" t="s">
        <v>148</v>
      </c>
      <c r="C49" s="21" t="s">
        <v>147</v>
      </c>
      <c r="D49" s="22">
        <v>10440415</v>
      </c>
      <c r="E49" s="21" t="s">
        <v>19</v>
      </c>
      <c r="F49" s="21" t="s">
        <v>35</v>
      </c>
      <c r="G49" s="21" t="s">
        <v>21</v>
      </c>
      <c r="H49" s="21" t="s">
        <v>115</v>
      </c>
      <c r="I49" s="21" t="s">
        <v>23</v>
      </c>
      <c r="J49" s="23">
        <v>73900</v>
      </c>
      <c r="K49" s="23">
        <v>142000</v>
      </c>
      <c r="L49" s="52">
        <f>IFERROR('RTK andmebaas'!$J49/'RTK andmebaas'!$K49,"")</f>
        <v>0.52042253521126758</v>
      </c>
      <c r="M49" s="21" t="s">
        <v>24</v>
      </c>
      <c r="N49" s="24">
        <v>45736</v>
      </c>
      <c r="O49" s="25">
        <f t="shared" si="0"/>
        <v>2025</v>
      </c>
      <c r="P49" s="21" t="s">
        <v>25</v>
      </c>
      <c r="Q49" s="21" t="s">
        <v>26</v>
      </c>
      <c r="R49" s="21" t="s">
        <v>27</v>
      </c>
      <c r="S49" s="21" t="s">
        <v>23</v>
      </c>
      <c r="T49" s="22">
        <v>231540</v>
      </c>
      <c r="U49" s="73"/>
    </row>
    <row r="50" spans="1:21" ht="14" customHeight="1" x14ac:dyDescent="0.35">
      <c r="A50" s="69" t="s">
        <v>149</v>
      </c>
      <c r="B50" s="27" t="s">
        <v>150</v>
      </c>
      <c r="C50" s="27" t="s">
        <v>620</v>
      </c>
      <c r="D50" s="28">
        <v>10131766</v>
      </c>
      <c r="E50" s="27" t="s">
        <v>19</v>
      </c>
      <c r="F50" s="27" t="s">
        <v>93</v>
      </c>
      <c r="G50" s="27" t="s">
        <v>21</v>
      </c>
      <c r="H50" s="27" t="s">
        <v>97</v>
      </c>
      <c r="I50" s="27" t="s">
        <v>23</v>
      </c>
      <c r="J50" s="29">
        <v>293588.96999999997</v>
      </c>
      <c r="K50" s="29">
        <v>679215.94</v>
      </c>
      <c r="L50" s="53">
        <f>IFERROR('RTK andmebaas'!$J50/'RTK andmebaas'!$K50,"")</f>
        <v>0.43224687865835421</v>
      </c>
      <c r="M50" s="27" t="s">
        <v>24</v>
      </c>
      <c r="N50" s="19">
        <v>45736</v>
      </c>
      <c r="O50" s="20">
        <f t="shared" si="0"/>
        <v>2025</v>
      </c>
      <c r="P50" s="27" t="s">
        <v>25</v>
      </c>
      <c r="Q50" s="27" t="s">
        <v>26</v>
      </c>
      <c r="R50" s="27" t="s">
        <v>27</v>
      </c>
      <c r="S50" s="27" t="s">
        <v>23</v>
      </c>
      <c r="T50" s="28">
        <v>231540</v>
      </c>
      <c r="U50" s="74"/>
    </row>
    <row r="51" spans="1:21" ht="14" customHeight="1" x14ac:dyDescent="0.35">
      <c r="A51" s="68" t="s">
        <v>151</v>
      </c>
      <c r="B51" s="21" t="s">
        <v>152</v>
      </c>
      <c r="C51" s="21" t="s">
        <v>151</v>
      </c>
      <c r="D51" s="22">
        <v>10377852</v>
      </c>
      <c r="E51" s="21" t="s">
        <v>19</v>
      </c>
      <c r="F51" s="21" t="s">
        <v>20</v>
      </c>
      <c r="G51" s="21" t="s">
        <v>21</v>
      </c>
      <c r="H51" s="21" t="s">
        <v>22</v>
      </c>
      <c r="I51" s="21" t="s">
        <v>23</v>
      </c>
      <c r="J51" s="23">
        <v>15600</v>
      </c>
      <c r="K51" s="23">
        <v>26000</v>
      </c>
      <c r="L51" s="52">
        <f>IFERROR('RTK andmebaas'!$J51/'RTK andmebaas'!$K51,"")</f>
        <v>0.6</v>
      </c>
      <c r="M51" s="21" t="s">
        <v>24</v>
      </c>
      <c r="N51" s="24">
        <v>45735</v>
      </c>
      <c r="O51" s="25">
        <f t="shared" si="0"/>
        <v>2025</v>
      </c>
      <c r="P51" s="21" t="s">
        <v>25</v>
      </c>
      <c r="Q51" s="21" t="s">
        <v>26</v>
      </c>
      <c r="R51" s="21" t="s">
        <v>27</v>
      </c>
      <c r="S51" s="21" t="s">
        <v>23</v>
      </c>
      <c r="T51" s="22">
        <v>231540</v>
      </c>
      <c r="U51" s="73"/>
    </row>
    <row r="52" spans="1:21" ht="14" customHeight="1" x14ac:dyDescent="0.35">
      <c r="A52" s="69" t="s">
        <v>153</v>
      </c>
      <c r="B52" s="27" t="s">
        <v>154</v>
      </c>
      <c r="C52" s="27" t="s">
        <v>153</v>
      </c>
      <c r="D52" s="28">
        <v>12035601</v>
      </c>
      <c r="E52" s="27" t="s">
        <v>19</v>
      </c>
      <c r="F52" s="27" t="s">
        <v>35</v>
      </c>
      <c r="G52" s="27" t="s">
        <v>21</v>
      </c>
      <c r="H52" s="27" t="s">
        <v>155</v>
      </c>
      <c r="I52" s="27" t="s">
        <v>23</v>
      </c>
      <c r="J52" s="29">
        <v>34937.5</v>
      </c>
      <c r="K52" s="29">
        <v>69875</v>
      </c>
      <c r="L52" s="53">
        <f>IFERROR('RTK andmebaas'!$J52/'RTK andmebaas'!$K52,"")</f>
        <v>0.5</v>
      </c>
      <c r="M52" s="27" t="s">
        <v>24</v>
      </c>
      <c r="N52" s="19">
        <v>45735</v>
      </c>
      <c r="O52" s="20">
        <f t="shared" si="0"/>
        <v>2025</v>
      </c>
      <c r="P52" s="27" t="s">
        <v>25</v>
      </c>
      <c r="Q52" s="27" t="s">
        <v>26</v>
      </c>
      <c r="R52" s="27" t="s">
        <v>27</v>
      </c>
      <c r="S52" s="27" t="s">
        <v>23</v>
      </c>
      <c r="T52" s="28">
        <v>231540</v>
      </c>
      <c r="U52" s="74"/>
    </row>
    <row r="53" spans="1:21" ht="14" customHeight="1" x14ac:dyDescent="0.35">
      <c r="A53" s="68" t="s">
        <v>156</v>
      </c>
      <c r="B53" s="21" t="s">
        <v>157</v>
      </c>
      <c r="C53" s="21" t="s">
        <v>156</v>
      </c>
      <c r="D53" s="22">
        <v>10703665</v>
      </c>
      <c r="E53" s="21" t="s">
        <v>19</v>
      </c>
      <c r="F53" s="21" t="s">
        <v>35</v>
      </c>
      <c r="G53" s="21" t="s">
        <v>21</v>
      </c>
      <c r="H53" s="21" t="s">
        <v>158</v>
      </c>
      <c r="I53" s="21" t="s">
        <v>23</v>
      </c>
      <c r="J53" s="23">
        <v>48918.6</v>
      </c>
      <c r="K53" s="23">
        <v>81531</v>
      </c>
      <c r="L53" s="52">
        <f>IFERROR('RTK andmebaas'!$J53/'RTK andmebaas'!$K53,"")</f>
        <v>0.6</v>
      </c>
      <c r="M53" s="21" t="s">
        <v>24</v>
      </c>
      <c r="N53" s="24">
        <v>45729</v>
      </c>
      <c r="O53" s="25">
        <f t="shared" si="0"/>
        <v>2025</v>
      </c>
      <c r="P53" s="21" t="s">
        <v>25</v>
      </c>
      <c r="Q53" s="21" t="s">
        <v>26</v>
      </c>
      <c r="R53" s="21" t="s">
        <v>27</v>
      </c>
      <c r="S53" s="21" t="s">
        <v>23</v>
      </c>
      <c r="T53" s="22">
        <v>231540</v>
      </c>
      <c r="U53" s="73"/>
    </row>
    <row r="54" spans="1:21" ht="14" customHeight="1" x14ac:dyDescent="0.35">
      <c r="A54" s="69" t="s">
        <v>159</v>
      </c>
      <c r="B54" s="27" t="s">
        <v>157</v>
      </c>
      <c r="C54" s="27" t="s">
        <v>159</v>
      </c>
      <c r="D54" s="28">
        <v>10703665</v>
      </c>
      <c r="E54" s="27" t="s">
        <v>19</v>
      </c>
      <c r="F54" s="27" t="s">
        <v>35</v>
      </c>
      <c r="G54" s="27" t="s">
        <v>21</v>
      </c>
      <c r="H54" s="27" t="s">
        <v>158</v>
      </c>
      <c r="I54" s="27" t="s">
        <v>23</v>
      </c>
      <c r="J54" s="29">
        <v>83831</v>
      </c>
      <c r="K54" s="29">
        <v>167662</v>
      </c>
      <c r="L54" s="53">
        <f>IFERROR('RTK andmebaas'!$J54/'RTK andmebaas'!$K54,"")</f>
        <v>0.5</v>
      </c>
      <c r="M54" s="27" t="s">
        <v>24</v>
      </c>
      <c r="N54" s="19">
        <v>45729</v>
      </c>
      <c r="O54" s="20">
        <f t="shared" si="0"/>
        <v>2025</v>
      </c>
      <c r="P54" s="27" t="s">
        <v>25</v>
      </c>
      <c r="Q54" s="27" t="s">
        <v>26</v>
      </c>
      <c r="R54" s="27" t="s">
        <v>27</v>
      </c>
      <c r="S54" s="27" t="s">
        <v>23</v>
      </c>
      <c r="T54" s="28">
        <v>231540</v>
      </c>
      <c r="U54" s="74"/>
    </row>
    <row r="55" spans="1:21" ht="14" customHeight="1" x14ac:dyDescent="0.35">
      <c r="A55" s="68" t="s">
        <v>160</v>
      </c>
      <c r="B55" s="21" t="s">
        <v>154</v>
      </c>
      <c r="C55" s="21" t="s">
        <v>160</v>
      </c>
      <c r="D55" s="22">
        <v>12035601</v>
      </c>
      <c r="E55" s="21" t="s">
        <v>19</v>
      </c>
      <c r="F55" s="21" t="s">
        <v>35</v>
      </c>
      <c r="G55" s="21" t="s">
        <v>21</v>
      </c>
      <c r="H55" s="21" t="s">
        <v>32</v>
      </c>
      <c r="I55" s="21" t="s">
        <v>23</v>
      </c>
      <c r="J55" s="23">
        <v>35250</v>
      </c>
      <c r="K55" s="23">
        <v>70500</v>
      </c>
      <c r="L55" s="52">
        <f>IFERROR('RTK andmebaas'!$J55/'RTK andmebaas'!$K55,"")</f>
        <v>0.5</v>
      </c>
      <c r="M55" s="21" t="s">
        <v>24</v>
      </c>
      <c r="N55" s="24">
        <v>45720</v>
      </c>
      <c r="O55" s="25">
        <f t="shared" si="0"/>
        <v>2025</v>
      </c>
      <c r="P55" s="21" t="s">
        <v>25</v>
      </c>
      <c r="Q55" s="21" t="s">
        <v>26</v>
      </c>
      <c r="R55" s="21" t="s">
        <v>27</v>
      </c>
      <c r="S55" s="21" t="s">
        <v>23</v>
      </c>
      <c r="T55" s="22">
        <v>231540</v>
      </c>
      <c r="U55" s="73"/>
    </row>
    <row r="56" spans="1:21" ht="10" customHeight="1" x14ac:dyDescent="0.35">
      <c r="A56" s="69" t="s">
        <v>161</v>
      </c>
      <c r="B56" s="27" t="s">
        <v>162</v>
      </c>
      <c r="C56" s="27" t="s">
        <v>161</v>
      </c>
      <c r="D56" s="28">
        <v>10032703</v>
      </c>
      <c r="E56" s="27" t="s">
        <v>19</v>
      </c>
      <c r="F56" s="27" t="s">
        <v>46</v>
      </c>
      <c r="G56" s="27" t="s">
        <v>21</v>
      </c>
      <c r="H56" s="27" t="s">
        <v>130</v>
      </c>
      <c r="I56" s="27" t="s">
        <v>23</v>
      </c>
      <c r="J56" s="29">
        <v>12593</v>
      </c>
      <c r="K56" s="29">
        <v>17990</v>
      </c>
      <c r="L56" s="53">
        <f>IFERROR('RTK andmebaas'!$J56/'RTK andmebaas'!$K56,"")</f>
        <v>0.7</v>
      </c>
      <c r="M56" s="27" t="s">
        <v>24</v>
      </c>
      <c r="N56" s="19">
        <v>45716</v>
      </c>
      <c r="O56" s="20">
        <f t="shared" si="0"/>
        <v>2025</v>
      </c>
      <c r="P56" s="27" t="s">
        <v>25</v>
      </c>
      <c r="Q56" s="27" t="s">
        <v>26</v>
      </c>
      <c r="R56" s="27" t="s">
        <v>27</v>
      </c>
      <c r="S56" s="27" t="s">
        <v>23</v>
      </c>
      <c r="T56" s="28">
        <v>231540</v>
      </c>
      <c r="U56" s="74"/>
    </row>
    <row r="57" spans="1:21" ht="14" customHeight="1" x14ac:dyDescent="0.35">
      <c r="A57" s="68" t="s">
        <v>163</v>
      </c>
      <c r="B57" s="21" t="s">
        <v>164</v>
      </c>
      <c r="C57" s="21" t="s">
        <v>163</v>
      </c>
      <c r="D57" s="22">
        <v>10004973</v>
      </c>
      <c r="E57" s="21" t="s">
        <v>19</v>
      </c>
      <c r="F57" s="21" t="s">
        <v>93</v>
      </c>
      <c r="G57" s="21" t="s">
        <v>21</v>
      </c>
      <c r="H57" s="21" t="s">
        <v>165</v>
      </c>
      <c r="I57" s="21" t="s">
        <v>23</v>
      </c>
      <c r="J57" s="23">
        <v>11000</v>
      </c>
      <c r="K57" s="23">
        <v>22000</v>
      </c>
      <c r="L57" s="52">
        <f>IFERROR('RTK andmebaas'!$J57/'RTK andmebaas'!$K57,"")</f>
        <v>0.5</v>
      </c>
      <c r="M57" s="21" t="s">
        <v>24</v>
      </c>
      <c r="N57" s="24">
        <v>45715</v>
      </c>
      <c r="O57" s="25">
        <f t="shared" si="0"/>
        <v>2025</v>
      </c>
      <c r="P57" s="21" t="s">
        <v>25</v>
      </c>
      <c r="Q57" s="21" t="s">
        <v>26</v>
      </c>
      <c r="R57" s="21" t="s">
        <v>27</v>
      </c>
      <c r="S57" s="21" t="s">
        <v>23</v>
      </c>
      <c r="T57" s="22">
        <v>231540</v>
      </c>
      <c r="U57" s="73"/>
    </row>
    <row r="58" spans="1:21" ht="14" customHeight="1" x14ac:dyDescent="0.35">
      <c r="A58" s="69" t="s">
        <v>166</v>
      </c>
      <c r="B58" s="27" t="s">
        <v>167</v>
      </c>
      <c r="C58" s="27" t="s">
        <v>166</v>
      </c>
      <c r="D58" s="28">
        <v>11493773</v>
      </c>
      <c r="E58" s="27" t="s">
        <v>19</v>
      </c>
      <c r="F58" s="27" t="s">
        <v>46</v>
      </c>
      <c r="G58" s="27" t="s">
        <v>21</v>
      </c>
      <c r="H58" s="27" t="s">
        <v>168</v>
      </c>
      <c r="I58" s="27" t="s">
        <v>23</v>
      </c>
      <c r="J58" s="29">
        <v>65739.8</v>
      </c>
      <c r="K58" s="29">
        <v>93914</v>
      </c>
      <c r="L58" s="53">
        <f>IFERROR('RTK andmebaas'!$J58/'RTK andmebaas'!$K58,"")</f>
        <v>0.70000000000000007</v>
      </c>
      <c r="M58" s="27" t="s">
        <v>24</v>
      </c>
      <c r="N58" s="19">
        <v>45714</v>
      </c>
      <c r="O58" s="20">
        <f t="shared" si="0"/>
        <v>2025</v>
      </c>
      <c r="P58" s="27" t="s">
        <v>25</v>
      </c>
      <c r="Q58" s="27" t="s">
        <v>26</v>
      </c>
      <c r="R58" s="27" t="s">
        <v>27</v>
      </c>
      <c r="S58" s="27" t="s">
        <v>23</v>
      </c>
      <c r="T58" s="28">
        <v>231540</v>
      </c>
      <c r="U58" s="74"/>
    </row>
    <row r="59" spans="1:21" ht="14" customHeight="1" x14ac:dyDescent="0.35">
      <c r="A59" s="68" t="s">
        <v>169</v>
      </c>
      <c r="B59" s="21" t="s">
        <v>170</v>
      </c>
      <c r="C59" s="21" t="s">
        <v>169</v>
      </c>
      <c r="D59" s="22">
        <v>10021405</v>
      </c>
      <c r="E59" s="21" t="s">
        <v>19</v>
      </c>
      <c r="F59" s="21" t="s">
        <v>46</v>
      </c>
      <c r="G59" s="21" t="s">
        <v>21</v>
      </c>
      <c r="H59" s="21" t="s">
        <v>36</v>
      </c>
      <c r="I59" s="21" t="s">
        <v>23</v>
      </c>
      <c r="J59" s="23">
        <v>35000</v>
      </c>
      <c r="K59" s="23">
        <v>50000</v>
      </c>
      <c r="L59" s="52">
        <f>IFERROR('RTK andmebaas'!$J59/'RTK andmebaas'!$K59,"")</f>
        <v>0.7</v>
      </c>
      <c r="M59" s="21" t="s">
        <v>24</v>
      </c>
      <c r="N59" s="24">
        <v>45713</v>
      </c>
      <c r="O59" s="25">
        <f t="shared" si="0"/>
        <v>2025</v>
      </c>
      <c r="P59" s="21" t="s">
        <v>25</v>
      </c>
      <c r="Q59" s="21" t="s">
        <v>26</v>
      </c>
      <c r="R59" s="21" t="s">
        <v>27</v>
      </c>
      <c r="S59" s="21" t="s">
        <v>23</v>
      </c>
      <c r="T59" s="22">
        <v>231540</v>
      </c>
      <c r="U59" s="73"/>
    </row>
    <row r="60" spans="1:21" ht="14" customHeight="1" x14ac:dyDescent="0.35">
      <c r="A60" s="69" t="s">
        <v>171</v>
      </c>
      <c r="B60" s="27" t="s">
        <v>172</v>
      </c>
      <c r="C60" s="27" t="s">
        <v>171</v>
      </c>
      <c r="D60" s="28">
        <v>10774518</v>
      </c>
      <c r="E60" s="27" t="s">
        <v>19</v>
      </c>
      <c r="F60" s="27" t="s">
        <v>46</v>
      </c>
      <c r="G60" s="27" t="s">
        <v>21</v>
      </c>
      <c r="H60" s="27" t="s">
        <v>22</v>
      </c>
      <c r="I60" s="27" t="s">
        <v>23</v>
      </c>
      <c r="J60" s="29">
        <v>66000</v>
      </c>
      <c r="K60" s="29">
        <v>110000</v>
      </c>
      <c r="L60" s="53">
        <f>IFERROR('RTK andmebaas'!$J60/'RTK andmebaas'!$K60,"")</f>
        <v>0.6</v>
      </c>
      <c r="M60" s="27" t="s">
        <v>24</v>
      </c>
      <c r="N60" s="19">
        <v>45710</v>
      </c>
      <c r="O60" s="20">
        <f t="shared" si="0"/>
        <v>2025</v>
      </c>
      <c r="P60" s="27" t="s">
        <v>25</v>
      </c>
      <c r="Q60" s="27" t="s">
        <v>26</v>
      </c>
      <c r="R60" s="27" t="s">
        <v>27</v>
      </c>
      <c r="S60" s="27" t="s">
        <v>23</v>
      </c>
      <c r="T60" s="28">
        <v>231540</v>
      </c>
      <c r="U60" s="74"/>
    </row>
    <row r="61" spans="1:21" ht="14" customHeight="1" x14ac:dyDescent="0.35">
      <c r="A61" s="68" t="s">
        <v>173</v>
      </c>
      <c r="B61" s="21" t="s">
        <v>164</v>
      </c>
      <c r="C61" s="21" t="s">
        <v>173</v>
      </c>
      <c r="D61" s="22">
        <v>10004973</v>
      </c>
      <c r="E61" s="21" t="s">
        <v>19</v>
      </c>
      <c r="F61" s="21" t="s">
        <v>93</v>
      </c>
      <c r="G61" s="21" t="s">
        <v>21</v>
      </c>
      <c r="H61" s="21" t="s">
        <v>174</v>
      </c>
      <c r="I61" s="21" t="s">
        <v>23</v>
      </c>
      <c r="J61" s="23">
        <v>16500</v>
      </c>
      <c r="K61" s="23">
        <v>55000</v>
      </c>
      <c r="L61" s="52">
        <f>IFERROR('RTK andmebaas'!$J61/'RTK andmebaas'!$K61,"")</f>
        <v>0.3</v>
      </c>
      <c r="M61" s="21" t="s">
        <v>24</v>
      </c>
      <c r="N61" s="24">
        <v>45680</v>
      </c>
      <c r="O61" s="25">
        <f t="shared" si="0"/>
        <v>2025</v>
      </c>
      <c r="P61" s="21" t="s">
        <v>25</v>
      </c>
      <c r="Q61" s="21" t="s">
        <v>26</v>
      </c>
      <c r="R61" s="21" t="s">
        <v>27</v>
      </c>
      <c r="S61" s="21" t="s">
        <v>23</v>
      </c>
      <c r="T61" s="22">
        <v>231540</v>
      </c>
      <c r="U61" s="73"/>
    </row>
    <row r="62" spans="1:21" ht="14" customHeight="1" x14ac:dyDescent="0.35">
      <c r="A62" s="69" t="s">
        <v>175</v>
      </c>
      <c r="B62" s="27" t="s">
        <v>176</v>
      </c>
      <c r="C62" s="27" t="s">
        <v>175</v>
      </c>
      <c r="D62" s="28">
        <v>12013232</v>
      </c>
      <c r="E62" s="27" t="s">
        <v>19</v>
      </c>
      <c r="F62" s="27" t="s">
        <v>46</v>
      </c>
      <c r="G62" s="27" t="s">
        <v>21</v>
      </c>
      <c r="H62" s="27" t="s">
        <v>177</v>
      </c>
      <c r="I62" s="27" t="s">
        <v>23</v>
      </c>
      <c r="J62" s="29">
        <v>71215.460000000006</v>
      </c>
      <c r="K62" s="29">
        <v>142430.92000000001</v>
      </c>
      <c r="L62" s="53">
        <f>IFERROR('RTK andmebaas'!$J62/'RTK andmebaas'!$K62,"")</f>
        <v>0.5</v>
      </c>
      <c r="M62" s="27" t="s">
        <v>24</v>
      </c>
      <c r="N62" s="19">
        <v>45672</v>
      </c>
      <c r="O62" s="20">
        <f t="shared" si="0"/>
        <v>2025</v>
      </c>
      <c r="P62" s="27" t="s">
        <v>25</v>
      </c>
      <c r="Q62" s="27" t="s">
        <v>26</v>
      </c>
      <c r="R62" s="27" t="s">
        <v>27</v>
      </c>
      <c r="S62" s="27" t="s">
        <v>23</v>
      </c>
      <c r="T62" s="28">
        <v>231540</v>
      </c>
      <c r="U62" s="74"/>
    </row>
    <row r="63" spans="1:21" ht="14" customHeight="1" x14ac:dyDescent="0.35">
      <c r="A63" s="68" t="s">
        <v>178</v>
      </c>
      <c r="B63" s="21" t="s">
        <v>179</v>
      </c>
      <c r="C63" s="21" t="s">
        <v>178</v>
      </c>
      <c r="D63" s="22">
        <v>10077274</v>
      </c>
      <c r="E63" s="21" t="s">
        <v>19</v>
      </c>
      <c r="F63" s="21" t="s">
        <v>20</v>
      </c>
      <c r="G63" s="21" t="s">
        <v>21</v>
      </c>
      <c r="H63" s="21" t="s">
        <v>180</v>
      </c>
      <c r="I63" s="21" t="s">
        <v>23</v>
      </c>
      <c r="J63" s="23">
        <v>17594.5</v>
      </c>
      <c r="K63" s="23">
        <v>35189</v>
      </c>
      <c r="L63" s="52">
        <f>IFERROR('RTK andmebaas'!$J63/'RTK andmebaas'!$K63,"")</f>
        <v>0.5</v>
      </c>
      <c r="M63" s="21" t="s">
        <v>24</v>
      </c>
      <c r="N63" s="24">
        <v>45667</v>
      </c>
      <c r="O63" s="25">
        <f t="shared" si="0"/>
        <v>2025</v>
      </c>
      <c r="P63" s="21" t="s">
        <v>25</v>
      </c>
      <c r="Q63" s="21" t="s">
        <v>26</v>
      </c>
      <c r="R63" s="21" t="s">
        <v>27</v>
      </c>
      <c r="S63" s="21" t="s">
        <v>23</v>
      </c>
      <c r="T63" s="22">
        <v>231540</v>
      </c>
      <c r="U63" s="73"/>
    </row>
    <row r="64" spans="1:21" ht="14" customHeight="1" x14ac:dyDescent="0.35">
      <c r="A64" s="69" t="s">
        <v>181</v>
      </c>
      <c r="B64" s="27" t="s">
        <v>127</v>
      </c>
      <c r="C64" s="27" t="s">
        <v>181</v>
      </c>
      <c r="D64" s="28">
        <v>10333719</v>
      </c>
      <c r="E64" s="27" t="s">
        <v>19</v>
      </c>
      <c r="F64" s="27" t="s">
        <v>93</v>
      </c>
      <c r="G64" s="27" t="s">
        <v>21</v>
      </c>
      <c r="H64" s="27" t="s">
        <v>47</v>
      </c>
      <c r="I64" s="27" t="s">
        <v>23</v>
      </c>
      <c r="J64" s="29"/>
      <c r="K64" s="29" t="s">
        <v>23</v>
      </c>
      <c r="L64" s="53" t="str">
        <f>IFERROR('RTK andmebaas'!$J64/'RTK andmebaas'!$K64,"")</f>
        <v/>
      </c>
      <c r="M64" s="27" t="s">
        <v>24</v>
      </c>
      <c r="N64" s="19">
        <v>45659</v>
      </c>
      <c r="O64" s="20">
        <f t="shared" si="0"/>
        <v>2025</v>
      </c>
      <c r="P64" s="27" t="s">
        <v>25</v>
      </c>
      <c r="Q64" s="27" t="s">
        <v>26</v>
      </c>
      <c r="R64" s="27" t="s">
        <v>27</v>
      </c>
      <c r="S64" s="27" t="s">
        <v>23</v>
      </c>
      <c r="T64" s="28">
        <v>231540</v>
      </c>
      <c r="U64" s="74"/>
    </row>
    <row r="65" spans="1:21" ht="14" customHeight="1" x14ac:dyDescent="0.35">
      <c r="A65" s="68" t="s">
        <v>182</v>
      </c>
      <c r="B65" s="21" t="s">
        <v>157</v>
      </c>
      <c r="C65" s="21" t="s">
        <v>182</v>
      </c>
      <c r="D65" s="22">
        <v>10703665</v>
      </c>
      <c r="E65" s="21" t="s">
        <v>19</v>
      </c>
      <c r="F65" s="21" t="s">
        <v>35</v>
      </c>
      <c r="G65" s="21" t="s">
        <v>21</v>
      </c>
      <c r="H65" s="21" t="s">
        <v>158</v>
      </c>
      <c r="I65" s="21" t="s">
        <v>23</v>
      </c>
      <c r="J65" s="23"/>
      <c r="K65" s="23" t="s">
        <v>23</v>
      </c>
      <c r="L65" s="52" t="str">
        <f>IFERROR('RTK andmebaas'!$J65/'RTK andmebaas'!$K65,"")</f>
        <v/>
      </c>
      <c r="M65" s="21" t="s">
        <v>24</v>
      </c>
      <c r="N65" s="24">
        <v>45657</v>
      </c>
      <c r="O65" s="25">
        <f t="shared" si="0"/>
        <v>2024</v>
      </c>
      <c r="P65" s="21" t="s">
        <v>25</v>
      </c>
      <c r="Q65" s="21" t="s">
        <v>26</v>
      </c>
      <c r="R65" s="21" t="s">
        <v>27</v>
      </c>
      <c r="S65" s="21" t="s">
        <v>23</v>
      </c>
      <c r="T65" s="22">
        <v>231540</v>
      </c>
      <c r="U65" s="73"/>
    </row>
    <row r="66" spans="1:21" ht="14" customHeight="1" x14ac:dyDescent="0.35">
      <c r="A66" s="69" t="s">
        <v>183</v>
      </c>
      <c r="B66" s="27" t="s">
        <v>184</v>
      </c>
      <c r="C66" s="27" t="s">
        <v>183</v>
      </c>
      <c r="D66" s="28">
        <v>10086633</v>
      </c>
      <c r="E66" s="27" t="s">
        <v>19</v>
      </c>
      <c r="F66" s="27" t="s">
        <v>20</v>
      </c>
      <c r="G66" s="27" t="s">
        <v>21</v>
      </c>
      <c r="H66" s="27" t="s">
        <v>32</v>
      </c>
      <c r="I66" s="27" t="s">
        <v>23</v>
      </c>
      <c r="J66" s="29">
        <v>49895</v>
      </c>
      <c r="K66" s="29">
        <v>99790</v>
      </c>
      <c r="L66" s="53">
        <f>IFERROR('RTK andmebaas'!$J66/'RTK andmebaas'!$K66,"")</f>
        <v>0.5</v>
      </c>
      <c r="M66" s="27" t="s">
        <v>24</v>
      </c>
      <c r="N66" s="19">
        <v>45653</v>
      </c>
      <c r="O66" s="20">
        <f t="shared" si="0"/>
        <v>2024</v>
      </c>
      <c r="P66" s="27" t="s">
        <v>25</v>
      </c>
      <c r="Q66" s="27" t="s">
        <v>26</v>
      </c>
      <c r="R66" s="27" t="s">
        <v>27</v>
      </c>
      <c r="S66" s="27" t="s">
        <v>23</v>
      </c>
      <c r="T66" s="28">
        <v>231540</v>
      </c>
      <c r="U66" s="74"/>
    </row>
    <row r="67" spans="1:21" ht="14" customHeight="1" x14ac:dyDescent="0.35">
      <c r="A67" s="68" t="s">
        <v>185</v>
      </c>
      <c r="B67" s="21" t="s">
        <v>186</v>
      </c>
      <c r="C67" s="21" t="s">
        <v>185</v>
      </c>
      <c r="D67" s="22">
        <v>10218131</v>
      </c>
      <c r="E67" s="21" t="s">
        <v>19</v>
      </c>
      <c r="F67" s="21" t="s">
        <v>46</v>
      </c>
      <c r="G67" s="21" t="s">
        <v>21</v>
      </c>
      <c r="H67" s="21" t="s">
        <v>32</v>
      </c>
      <c r="I67" s="21" t="s">
        <v>23</v>
      </c>
      <c r="J67" s="23">
        <v>25950</v>
      </c>
      <c r="K67" s="23">
        <v>51900</v>
      </c>
      <c r="L67" s="52">
        <f>IFERROR('RTK andmebaas'!$J67/'RTK andmebaas'!$K67,"")</f>
        <v>0.5</v>
      </c>
      <c r="M67" s="21" t="s">
        <v>24</v>
      </c>
      <c r="N67" s="24">
        <v>45639</v>
      </c>
      <c r="O67" s="25">
        <f t="shared" si="0"/>
        <v>2024</v>
      </c>
      <c r="P67" s="21" t="s">
        <v>25</v>
      </c>
      <c r="Q67" s="21" t="s">
        <v>26</v>
      </c>
      <c r="R67" s="21" t="s">
        <v>27</v>
      </c>
      <c r="S67" s="21" t="s">
        <v>23</v>
      </c>
      <c r="T67" s="22">
        <v>231540</v>
      </c>
      <c r="U67" s="73"/>
    </row>
    <row r="68" spans="1:21" ht="14" customHeight="1" x14ac:dyDescent="0.35">
      <c r="A68" s="69" t="s">
        <v>187</v>
      </c>
      <c r="B68" s="27" t="s">
        <v>188</v>
      </c>
      <c r="C68" s="27" t="s">
        <v>187</v>
      </c>
      <c r="D68" s="28">
        <v>10082335</v>
      </c>
      <c r="E68" s="27" t="s">
        <v>19</v>
      </c>
      <c r="F68" s="27" t="s">
        <v>93</v>
      </c>
      <c r="G68" s="27" t="s">
        <v>21</v>
      </c>
      <c r="H68" s="27" t="s">
        <v>189</v>
      </c>
      <c r="I68" s="27" t="s">
        <v>23</v>
      </c>
      <c r="J68" s="29">
        <v>48000</v>
      </c>
      <c r="K68" s="29">
        <v>160000</v>
      </c>
      <c r="L68" s="53">
        <f>IFERROR('RTK andmebaas'!$J68/'RTK andmebaas'!$K68,"")</f>
        <v>0.3</v>
      </c>
      <c r="M68" s="27" t="s">
        <v>24</v>
      </c>
      <c r="N68" s="19">
        <v>45622</v>
      </c>
      <c r="O68" s="20">
        <f t="shared" ref="O68:O131" si="1">YEAR(N68)</f>
        <v>2024</v>
      </c>
      <c r="P68" s="27" t="s">
        <v>25</v>
      </c>
      <c r="Q68" s="27" t="s">
        <v>26</v>
      </c>
      <c r="R68" s="27" t="s">
        <v>27</v>
      </c>
      <c r="S68" s="27" t="s">
        <v>23</v>
      </c>
      <c r="T68" s="28">
        <v>231540</v>
      </c>
      <c r="U68" s="74"/>
    </row>
    <row r="69" spans="1:21" ht="14" customHeight="1" x14ac:dyDescent="0.35">
      <c r="A69" s="68" t="s">
        <v>190</v>
      </c>
      <c r="B69" s="21" t="s">
        <v>191</v>
      </c>
      <c r="C69" s="21" t="s">
        <v>190</v>
      </c>
      <c r="D69" s="22">
        <v>10934040</v>
      </c>
      <c r="E69" s="21" t="s">
        <v>19</v>
      </c>
      <c r="F69" s="21" t="s">
        <v>20</v>
      </c>
      <c r="G69" s="21" t="s">
        <v>21</v>
      </c>
      <c r="H69" s="21" t="s">
        <v>101</v>
      </c>
      <c r="I69" s="21" t="s">
        <v>23</v>
      </c>
      <c r="J69" s="23">
        <v>130500</v>
      </c>
      <c r="K69" s="23">
        <v>261000</v>
      </c>
      <c r="L69" s="52">
        <f>IFERROR('RTK andmebaas'!$J69/'RTK andmebaas'!$K69,"")</f>
        <v>0.5</v>
      </c>
      <c r="M69" s="21" t="s">
        <v>24</v>
      </c>
      <c r="N69" s="24">
        <v>45614</v>
      </c>
      <c r="O69" s="25">
        <f t="shared" si="1"/>
        <v>2024</v>
      </c>
      <c r="P69" s="21" t="s">
        <v>25</v>
      </c>
      <c r="Q69" s="21" t="s">
        <v>26</v>
      </c>
      <c r="R69" s="21" t="s">
        <v>27</v>
      </c>
      <c r="S69" s="21" t="s">
        <v>23</v>
      </c>
      <c r="T69" s="22">
        <v>231540</v>
      </c>
      <c r="U69" s="73"/>
    </row>
    <row r="70" spans="1:21" ht="14" customHeight="1" x14ac:dyDescent="0.35">
      <c r="A70" s="69" t="s">
        <v>192</v>
      </c>
      <c r="B70" s="27" t="s">
        <v>193</v>
      </c>
      <c r="C70" s="27" t="s">
        <v>192</v>
      </c>
      <c r="D70" s="28">
        <v>14641493</v>
      </c>
      <c r="E70" s="27" t="s">
        <v>19</v>
      </c>
      <c r="F70" s="27" t="s">
        <v>20</v>
      </c>
      <c r="G70" s="27" t="s">
        <v>21</v>
      </c>
      <c r="H70" s="27" t="s">
        <v>194</v>
      </c>
      <c r="I70" s="27" t="s">
        <v>23</v>
      </c>
      <c r="J70" s="29">
        <v>30644.45</v>
      </c>
      <c r="K70" s="29">
        <v>76611.13</v>
      </c>
      <c r="L70" s="53">
        <f>IFERROR('RTK andmebaas'!$J70/'RTK andmebaas'!$K70,"")</f>
        <v>0.39999997389413261</v>
      </c>
      <c r="M70" s="27" t="s">
        <v>24</v>
      </c>
      <c r="N70" s="19">
        <v>45610</v>
      </c>
      <c r="O70" s="20">
        <f t="shared" si="1"/>
        <v>2024</v>
      </c>
      <c r="P70" s="27" t="s">
        <v>25</v>
      </c>
      <c r="Q70" s="27" t="s">
        <v>26</v>
      </c>
      <c r="R70" s="27" t="s">
        <v>27</v>
      </c>
      <c r="S70" s="27" t="s">
        <v>23</v>
      </c>
      <c r="T70" s="28">
        <v>231540</v>
      </c>
      <c r="U70" s="74"/>
    </row>
    <row r="71" spans="1:21" ht="14" customHeight="1" x14ac:dyDescent="0.35">
      <c r="A71" s="68" t="s">
        <v>195</v>
      </c>
      <c r="B71" s="21" t="s">
        <v>196</v>
      </c>
      <c r="C71" s="21" t="s">
        <v>195</v>
      </c>
      <c r="D71" s="22">
        <v>10560579</v>
      </c>
      <c r="E71" s="21" t="s">
        <v>19</v>
      </c>
      <c r="F71" s="21" t="s">
        <v>46</v>
      </c>
      <c r="G71" s="21" t="s">
        <v>21</v>
      </c>
      <c r="H71" s="21" t="s">
        <v>197</v>
      </c>
      <c r="I71" s="21" t="s">
        <v>23</v>
      </c>
      <c r="J71" s="23">
        <v>73333.33</v>
      </c>
      <c r="K71" s="23">
        <v>146666.66</v>
      </c>
      <c r="L71" s="52">
        <f>IFERROR('RTK andmebaas'!$J71/'RTK andmebaas'!$K71,"")</f>
        <v>0.5</v>
      </c>
      <c r="M71" s="21" t="s">
        <v>24</v>
      </c>
      <c r="N71" s="24">
        <v>45605</v>
      </c>
      <c r="O71" s="25">
        <f t="shared" si="1"/>
        <v>2024</v>
      </c>
      <c r="P71" s="21" t="s">
        <v>25</v>
      </c>
      <c r="Q71" s="21" t="s">
        <v>26</v>
      </c>
      <c r="R71" s="21" t="s">
        <v>27</v>
      </c>
      <c r="S71" s="21" t="s">
        <v>23</v>
      </c>
      <c r="T71" s="22">
        <v>231540</v>
      </c>
      <c r="U71" s="73"/>
    </row>
    <row r="72" spans="1:21" ht="14" customHeight="1" x14ac:dyDescent="0.35">
      <c r="A72" s="69" t="s">
        <v>198</v>
      </c>
      <c r="B72" s="27" t="s">
        <v>199</v>
      </c>
      <c r="C72" s="27" t="s">
        <v>198</v>
      </c>
      <c r="D72" s="28">
        <v>10254960</v>
      </c>
      <c r="E72" s="27" t="s">
        <v>19</v>
      </c>
      <c r="F72" s="27" t="s">
        <v>35</v>
      </c>
      <c r="G72" s="27" t="s">
        <v>21</v>
      </c>
      <c r="H72" s="27" t="s">
        <v>158</v>
      </c>
      <c r="I72" s="27" t="s">
        <v>23</v>
      </c>
      <c r="J72" s="29">
        <v>100000</v>
      </c>
      <c r="K72" s="29">
        <v>250000</v>
      </c>
      <c r="L72" s="53">
        <f>IFERROR('RTK andmebaas'!$J72/'RTK andmebaas'!$K72,"")</f>
        <v>0.4</v>
      </c>
      <c r="M72" s="27" t="s">
        <v>24</v>
      </c>
      <c r="N72" s="19">
        <v>45594</v>
      </c>
      <c r="O72" s="20">
        <f t="shared" si="1"/>
        <v>2024</v>
      </c>
      <c r="P72" s="27" t="s">
        <v>25</v>
      </c>
      <c r="Q72" s="27" t="s">
        <v>26</v>
      </c>
      <c r="R72" s="27" t="s">
        <v>27</v>
      </c>
      <c r="S72" s="27" t="s">
        <v>23</v>
      </c>
      <c r="T72" s="28">
        <v>231540</v>
      </c>
      <c r="U72" s="74"/>
    </row>
    <row r="73" spans="1:21" ht="14" customHeight="1" x14ac:dyDescent="0.35">
      <c r="A73" s="68" t="s">
        <v>200</v>
      </c>
      <c r="B73" s="21" t="s">
        <v>201</v>
      </c>
      <c r="C73" s="21" t="s">
        <v>200</v>
      </c>
      <c r="D73" s="22">
        <v>10868739</v>
      </c>
      <c r="E73" s="21" t="s">
        <v>19</v>
      </c>
      <c r="F73" s="21" t="s">
        <v>93</v>
      </c>
      <c r="G73" s="21" t="s">
        <v>21</v>
      </c>
      <c r="H73" s="21" t="s">
        <v>101</v>
      </c>
      <c r="I73" s="21" t="s">
        <v>23</v>
      </c>
      <c r="J73" s="23">
        <v>264348</v>
      </c>
      <c r="K73" s="23">
        <v>881160</v>
      </c>
      <c r="L73" s="52">
        <f>IFERROR('RTK andmebaas'!$J73/'RTK andmebaas'!$K73,"")</f>
        <v>0.3</v>
      </c>
      <c r="M73" s="21" t="s">
        <v>24</v>
      </c>
      <c r="N73" s="24">
        <v>45590</v>
      </c>
      <c r="O73" s="25">
        <f t="shared" si="1"/>
        <v>2024</v>
      </c>
      <c r="P73" s="21" t="s">
        <v>25</v>
      </c>
      <c r="Q73" s="21" t="s">
        <v>26</v>
      </c>
      <c r="R73" s="21" t="s">
        <v>27</v>
      </c>
      <c r="S73" s="21" t="s">
        <v>23</v>
      </c>
      <c r="T73" s="22">
        <v>231540</v>
      </c>
      <c r="U73" s="73"/>
    </row>
    <row r="74" spans="1:21" ht="14" customHeight="1" x14ac:dyDescent="0.35">
      <c r="A74" s="69" t="s">
        <v>202</v>
      </c>
      <c r="B74" s="27" t="s">
        <v>203</v>
      </c>
      <c r="C74" s="27" t="s">
        <v>202</v>
      </c>
      <c r="D74" s="28">
        <v>14986915</v>
      </c>
      <c r="E74" s="27" t="s">
        <v>19</v>
      </c>
      <c r="F74" s="27" t="s">
        <v>20</v>
      </c>
      <c r="G74" s="27" t="s">
        <v>21</v>
      </c>
      <c r="H74" s="27" t="s">
        <v>204</v>
      </c>
      <c r="I74" s="27" t="s">
        <v>23</v>
      </c>
      <c r="J74" s="29">
        <v>29375.599999999999</v>
      </c>
      <c r="K74" s="29">
        <v>73439</v>
      </c>
      <c r="L74" s="53">
        <f>IFERROR('RTK andmebaas'!$J74/'RTK andmebaas'!$K74,"")</f>
        <v>0.39999999999999997</v>
      </c>
      <c r="M74" s="27" t="s">
        <v>24</v>
      </c>
      <c r="N74" s="19">
        <v>45581</v>
      </c>
      <c r="O74" s="20">
        <f t="shared" si="1"/>
        <v>2024</v>
      </c>
      <c r="P74" s="27" t="s">
        <v>25</v>
      </c>
      <c r="Q74" s="27" t="s">
        <v>26</v>
      </c>
      <c r="R74" s="27" t="s">
        <v>27</v>
      </c>
      <c r="S74" s="27" t="s">
        <v>23</v>
      </c>
      <c r="T74" s="28">
        <v>231540</v>
      </c>
      <c r="U74" s="74"/>
    </row>
    <row r="75" spans="1:21" ht="14" customHeight="1" x14ac:dyDescent="0.35">
      <c r="A75" s="68" t="s">
        <v>205</v>
      </c>
      <c r="B75" s="21" t="s">
        <v>206</v>
      </c>
      <c r="C75" s="21" t="s">
        <v>205</v>
      </c>
      <c r="D75" s="22">
        <v>10697462</v>
      </c>
      <c r="E75" s="21" t="s">
        <v>19</v>
      </c>
      <c r="F75" s="21" t="s">
        <v>20</v>
      </c>
      <c r="G75" s="21" t="s">
        <v>21</v>
      </c>
      <c r="H75" s="21" t="s">
        <v>207</v>
      </c>
      <c r="I75" s="21" t="s">
        <v>23</v>
      </c>
      <c r="J75" s="23">
        <v>78180.11</v>
      </c>
      <c r="K75" s="23">
        <v>156360.22</v>
      </c>
      <c r="L75" s="52">
        <f>IFERROR('RTK andmebaas'!$J75/'RTK andmebaas'!$K75,"")</f>
        <v>0.5</v>
      </c>
      <c r="M75" s="21" t="s">
        <v>24</v>
      </c>
      <c r="N75" s="24">
        <v>45570</v>
      </c>
      <c r="O75" s="25">
        <f t="shared" si="1"/>
        <v>2024</v>
      </c>
      <c r="P75" s="21" t="s">
        <v>25</v>
      </c>
      <c r="Q75" s="21" t="s">
        <v>26</v>
      </c>
      <c r="R75" s="21" t="s">
        <v>27</v>
      </c>
      <c r="S75" s="21" t="s">
        <v>23</v>
      </c>
      <c r="T75" s="22">
        <v>231540</v>
      </c>
      <c r="U75" s="73"/>
    </row>
    <row r="76" spans="1:21" ht="14" customHeight="1" x14ac:dyDescent="0.35">
      <c r="A76" s="69" t="s">
        <v>208</v>
      </c>
      <c r="B76" s="27" t="s">
        <v>209</v>
      </c>
      <c r="C76" s="27" t="s">
        <v>208</v>
      </c>
      <c r="D76" s="28">
        <v>10088533</v>
      </c>
      <c r="E76" s="27" t="s">
        <v>19</v>
      </c>
      <c r="F76" s="27" t="s">
        <v>35</v>
      </c>
      <c r="G76" s="27" t="s">
        <v>21</v>
      </c>
      <c r="H76" s="27" t="s">
        <v>36</v>
      </c>
      <c r="I76" s="27" t="s">
        <v>23</v>
      </c>
      <c r="J76" s="29">
        <v>37140</v>
      </c>
      <c r="K76" s="29">
        <v>123800</v>
      </c>
      <c r="L76" s="53">
        <f>IFERROR('RTK andmebaas'!$J76/'RTK andmebaas'!$K76,"")</f>
        <v>0.3</v>
      </c>
      <c r="M76" s="27" t="s">
        <v>24</v>
      </c>
      <c r="N76" s="19">
        <v>45552</v>
      </c>
      <c r="O76" s="20">
        <f t="shared" si="1"/>
        <v>2024</v>
      </c>
      <c r="P76" s="27" t="s">
        <v>25</v>
      </c>
      <c r="Q76" s="27" t="s">
        <v>26</v>
      </c>
      <c r="R76" s="27" t="s">
        <v>27</v>
      </c>
      <c r="S76" s="27" t="s">
        <v>23</v>
      </c>
      <c r="T76" s="28">
        <v>231540</v>
      </c>
      <c r="U76" s="74"/>
    </row>
    <row r="77" spans="1:21" ht="14" customHeight="1" x14ac:dyDescent="0.35">
      <c r="A77" s="68" t="s">
        <v>210</v>
      </c>
      <c r="B77" s="21" t="s">
        <v>211</v>
      </c>
      <c r="C77" s="21" t="s">
        <v>210</v>
      </c>
      <c r="D77" s="22">
        <v>10168344</v>
      </c>
      <c r="E77" s="21" t="s">
        <v>19</v>
      </c>
      <c r="F77" s="21" t="s">
        <v>35</v>
      </c>
      <c r="G77" s="21" t="s">
        <v>21</v>
      </c>
      <c r="H77" s="21" t="s">
        <v>212</v>
      </c>
      <c r="I77" s="21" t="s">
        <v>23</v>
      </c>
      <c r="J77" s="23">
        <v>112000</v>
      </c>
      <c r="K77" s="23">
        <v>280000</v>
      </c>
      <c r="L77" s="52">
        <f>IFERROR('RTK andmebaas'!$J77/'RTK andmebaas'!$K77,"")</f>
        <v>0.4</v>
      </c>
      <c r="M77" s="21" t="s">
        <v>24</v>
      </c>
      <c r="N77" s="24">
        <v>45551</v>
      </c>
      <c r="O77" s="25">
        <f t="shared" si="1"/>
        <v>2024</v>
      </c>
      <c r="P77" s="21" t="s">
        <v>25</v>
      </c>
      <c r="Q77" s="21" t="s">
        <v>26</v>
      </c>
      <c r="R77" s="21" t="s">
        <v>27</v>
      </c>
      <c r="S77" s="21" t="s">
        <v>23</v>
      </c>
      <c r="T77" s="22">
        <v>231540</v>
      </c>
      <c r="U77" s="73"/>
    </row>
    <row r="78" spans="1:21" ht="14" customHeight="1" x14ac:dyDescent="0.35">
      <c r="A78" s="69" t="s">
        <v>213</v>
      </c>
      <c r="B78" s="27" t="s">
        <v>214</v>
      </c>
      <c r="C78" s="27" t="s">
        <v>213</v>
      </c>
      <c r="D78" s="28">
        <v>10185182</v>
      </c>
      <c r="E78" s="27" t="s">
        <v>19</v>
      </c>
      <c r="F78" s="27" t="s">
        <v>93</v>
      </c>
      <c r="G78" s="27" t="s">
        <v>21</v>
      </c>
      <c r="H78" s="27" t="s">
        <v>174</v>
      </c>
      <c r="I78" s="27" t="s">
        <v>23</v>
      </c>
      <c r="J78" s="29">
        <v>36001.800000000003</v>
      </c>
      <c r="K78" s="29">
        <v>120006</v>
      </c>
      <c r="L78" s="53">
        <f>IFERROR('RTK andmebaas'!$J78/'RTK andmebaas'!$K78,"")</f>
        <v>0.30000000000000004</v>
      </c>
      <c r="M78" s="27" t="s">
        <v>24</v>
      </c>
      <c r="N78" s="19">
        <v>45540</v>
      </c>
      <c r="O78" s="20">
        <f t="shared" si="1"/>
        <v>2024</v>
      </c>
      <c r="P78" s="27" t="s">
        <v>25</v>
      </c>
      <c r="Q78" s="27" t="s">
        <v>26</v>
      </c>
      <c r="R78" s="27" t="s">
        <v>27</v>
      </c>
      <c r="S78" s="27" t="s">
        <v>23</v>
      </c>
      <c r="T78" s="28">
        <v>231540</v>
      </c>
      <c r="U78" s="74"/>
    </row>
    <row r="79" spans="1:21" ht="14" customHeight="1" x14ac:dyDescent="0.35">
      <c r="A79" s="68" t="s">
        <v>215</v>
      </c>
      <c r="B79" s="21" t="s">
        <v>216</v>
      </c>
      <c r="C79" s="21" t="s">
        <v>215</v>
      </c>
      <c r="D79" s="22">
        <v>10920919</v>
      </c>
      <c r="E79" s="21" t="s">
        <v>19</v>
      </c>
      <c r="F79" s="21" t="s">
        <v>20</v>
      </c>
      <c r="G79" s="21" t="s">
        <v>21</v>
      </c>
      <c r="H79" s="21" t="s">
        <v>217</v>
      </c>
      <c r="I79" s="21" t="s">
        <v>23</v>
      </c>
      <c r="J79" s="23">
        <v>11101.6</v>
      </c>
      <c r="K79" s="23">
        <v>27754</v>
      </c>
      <c r="L79" s="52">
        <f>IFERROR('RTK andmebaas'!$J79/'RTK andmebaas'!$K79,"")</f>
        <v>0.4</v>
      </c>
      <c r="M79" s="21" t="s">
        <v>24</v>
      </c>
      <c r="N79" s="24">
        <v>45534</v>
      </c>
      <c r="O79" s="25">
        <f t="shared" si="1"/>
        <v>2024</v>
      </c>
      <c r="P79" s="21" t="s">
        <v>25</v>
      </c>
      <c r="Q79" s="21" t="s">
        <v>26</v>
      </c>
      <c r="R79" s="21" t="s">
        <v>27</v>
      </c>
      <c r="S79" s="21" t="s">
        <v>23</v>
      </c>
      <c r="T79" s="22">
        <v>231540</v>
      </c>
      <c r="U79" s="73"/>
    </row>
    <row r="80" spans="1:21" ht="14" customHeight="1" x14ac:dyDescent="0.35">
      <c r="A80" s="69" t="s">
        <v>218</v>
      </c>
      <c r="B80" s="27" t="s">
        <v>162</v>
      </c>
      <c r="C80" s="27" t="s">
        <v>218</v>
      </c>
      <c r="D80" s="28">
        <v>10032703</v>
      </c>
      <c r="E80" s="27" t="s">
        <v>19</v>
      </c>
      <c r="F80" s="27" t="s">
        <v>46</v>
      </c>
      <c r="G80" s="27" t="s">
        <v>21</v>
      </c>
      <c r="H80" s="27" t="s">
        <v>130</v>
      </c>
      <c r="I80" s="27" t="s">
        <v>23</v>
      </c>
      <c r="J80" s="29">
        <v>24220</v>
      </c>
      <c r="K80" s="29">
        <v>48440</v>
      </c>
      <c r="L80" s="53">
        <f>IFERROR('RTK andmebaas'!$J80/'RTK andmebaas'!$K80,"")</f>
        <v>0.5</v>
      </c>
      <c r="M80" s="27" t="s">
        <v>24</v>
      </c>
      <c r="N80" s="19">
        <v>45523</v>
      </c>
      <c r="O80" s="20">
        <f t="shared" si="1"/>
        <v>2024</v>
      </c>
      <c r="P80" s="27" t="s">
        <v>25</v>
      </c>
      <c r="Q80" s="27" t="s">
        <v>26</v>
      </c>
      <c r="R80" s="27" t="s">
        <v>27</v>
      </c>
      <c r="S80" s="27" t="s">
        <v>23</v>
      </c>
      <c r="T80" s="28">
        <v>231540</v>
      </c>
      <c r="U80" s="74"/>
    </row>
    <row r="81" spans="1:21" ht="14" customHeight="1" x14ac:dyDescent="0.35">
      <c r="A81" s="68" t="s">
        <v>219</v>
      </c>
      <c r="B81" s="21" t="s">
        <v>220</v>
      </c>
      <c r="C81" s="21" t="s">
        <v>219</v>
      </c>
      <c r="D81" s="22">
        <v>10051010</v>
      </c>
      <c r="E81" s="21" t="s">
        <v>19</v>
      </c>
      <c r="F81" s="21" t="s">
        <v>35</v>
      </c>
      <c r="G81" s="21" t="s">
        <v>21</v>
      </c>
      <c r="H81" s="21" t="s">
        <v>158</v>
      </c>
      <c r="I81" s="21" t="s">
        <v>23</v>
      </c>
      <c r="J81" s="23">
        <v>54000</v>
      </c>
      <c r="K81" s="23">
        <v>135000</v>
      </c>
      <c r="L81" s="52">
        <f>IFERROR('RTK andmebaas'!$J81/'RTK andmebaas'!$K81,"")</f>
        <v>0.4</v>
      </c>
      <c r="M81" s="21" t="s">
        <v>24</v>
      </c>
      <c r="N81" s="24">
        <v>45513</v>
      </c>
      <c r="O81" s="25">
        <f t="shared" si="1"/>
        <v>2024</v>
      </c>
      <c r="P81" s="21" t="s">
        <v>25</v>
      </c>
      <c r="Q81" s="21" t="s">
        <v>26</v>
      </c>
      <c r="R81" s="21" t="s">
        <v>27</v>
      </c>
      <c r="S81" s="21" t="s">
        <v>23</v>
      </c>
      <c r="T81" s="22">
        <v>231540</v>
      </c>
      <c r="U81" s="73"/>
    </row>
    <row r="82" spans="1:21" ht="14" customHeight="1" x14ac:dyDescent="0.35">
      <c r="A82" s="69" t="s">
        <v>221</v>
      </c>
      <c r="B82" s="27" t="s">
        <v>222</v>
      </c>
      <c r="C82" s="27" t="s">
        <v>221</v>
      </c>
      <c r="D82" s="28">
        <v>11218423</v>
      </c>
      <c r="E82" s="27" t="s">
        <v>19</v>
      </c>
      <c r="F82" s="27" t="s">
        <v>46</v>
      </c>
      <c r="G82" s="27" t="s">
        <v>21</v>
      </c>
      <c r="H82" s="27" t="s">
        <v>32</v>
      </c>
      <c r="I82" s="27" t="s">
        <v>23</v>
      </c>
      <c r="J82" s="29">
        <v>12215</v>
      </c>
      <c r="K82" s="29">
        <v>24430</v>
      </c>
      <c r="L82" s="53">
        <f>IFERROR('RTK andmebaas'!$J82/'RTK andmebaas'!$K82,"")</f>
        <v>0.5</v>
      </c>
      <c r="M82" s="27" t="s">
        <v>24</v>
      </c>
      <c r="N82" s="19">
        <v>45504</v>
      </c>
      <c r="O82" s="20">
        <f t="shared" si="1"/>
        <v>2024</v>
      </c>
      <c r="P82" s="27" t="s">
        <v>25</v>
      </c>
      <c r="Q82" s="27" t="s">
        <v>26</v>
      </c>
      <c r="R82" s="27" t="s">
        <v>27</v>
      </c>
      <c r="S82" s="27" t="s">
        <v>23</v>
      </c>
      <c r="T82" s="28">
        <v>231540</v>
      </c>
      <c r="U82" s="74"/>
    </row>
    <row r="83" spans="1:21" ht="14" customHeight="1" x14ac:dyDescent="0.35">
      <c r="A83" s="68" t="s">
        <v>223</v>
      </c>
      <c r="B83" s="21" t="s">
        <v>224</v>
      </c>
      <c r="C83" s="21" t="s">
        <v>223</v>
      </c>
      <c r="D83" s="22">
        <v>10228767</v>
      </c>
      <c r="E83" s="21" t="s">
        <v>19</v>
      </c>
      <c r="F83" s="21" t="s">
        <v>35</v>
      </c>
      <c r="G83" s="21" t="s">
        <v>21</v>
      </c>
      <c r="H83" s="21" t="s">
        <v>32</v>
      </c>
      <c r="I83" s="21" t="s">
        <v>23</v>
      </c>
      <c r="J83" s="23">
        <v>15032</v>
      </c>
      <c r="K83" s="23">
        <v>37580</v>
      </c>
      <c r="L83" s="52">
        <f>IFERROR('RTK andmebaas'!$J83/'RTK andmebaas'!$K83,"")</f>
        <v>0.4</v>
      </c>
      <c r="M83" s="21" t="s">
        <v>24</v>
      </c>
      <c r="N83" s="24">
        <v>45492</v>
      </c>
      <c r="O83" s="25">
        <f t="shared" si="1"/>
        <v>2024</v>
      </c>
      <c r="P83" s="21" t="s">
        <v>25</v>
      </c>
      <c r="Q83" s="21" t="s">
        <v>26</v>
      </c>
      <c r="R83" s="21" t="s">
        <v>27</v>
      </c>
      <c r="S83" s="21" t="s">
        <v>23</v>
      </c>
      <c r="T83" s="22">
        <v>231540</v>
      </c>
      <c r="U83" s="73"/>
    </row>
    <row r="84" spans="1:21" ht="14" customHeight="1" x14ac:dyDescent="0.35">
      <c r="A84" s="69" t="s">
        <v>225</v>
      </c>
      <c r="B84" s="27" t="s">
        <v>226</v>
      </c>
      <c r="C84" s="27" t="s">
        <v>225</v>
      </c>
      <c r="D84" s="28">
        <v>12003860</v>
      </c>
      <c r="E84" s="27" t="s">
        <v>19</v>
      </c>
      <c r="F84" s="27" t="s">
        <v>20</v>
      </c>
      <c r="G84" s="27" t="s">
        <v>21</v>
      </c>
      <c r="H84" s="27" t="s">
        <v>22</v>
      </c>
      <c r="I84" s="27" t="s">
        <v>23</v>
      </c>
      <c r="J84" s="29">
        <v>27800</v>
      </c>
      <c r="K84" s="29">
        <v>69500</v>
      </c>
      <c r="L84" s="53">
        <f>IFERROR('RTK andmebaas'!$J84/'RTK andmebaas'!$K84,"")</f>
        <v>0.4</v>
      </c>
      <c r="M84" s="27" t="s">
        <v>24</v>
      </c>
      <c r="N84" s="19">
        <v>45475</v>
      </c>
      <c r="O84" s="20">
        <f t="shared" si="1"/>
        <v>2024</v>
      </c>
      <c r="P84" s="27" t="s">
        <v>25</v>
      </c>
      <c r="Q84" s="27" t="s">
        <v>26</v>
      </c>
      <c r="R84" s="27" t="s">
        <v>27</v>
      </c>
      <c r="S84" s="27" t="s">
        <v>23</v>
      </c>
      <c r="T84" s="28">
        <v>231540</v>
      </c>
      <c r="U84" s="74"/>
    </row>
    <row r="85" spans="1:21" ht="14" customHeight="1" x14ac:dyDescent="0.35">
      <c r="A85" s="68" t="s">
        <v>227</v>
      </c>
      <c r="B85" s="21" t="s">
        <v>228</v>
      </c>
      <c r="C85" s="21" t="s">
        <v>227</v>
      </c>
      <c r="D85" s="22">
        <v>10853367</v>
      </c>
      <c r="E85" s="21" t="s">
        <v>19</v>
      </c>
      <c r="F85" s="21" t="s">
        <v>20</v>
      </c>
      <c r="G85" s="21" t="s">
        <v>21</v>
      </c>
      <c r="H85" s="21" t="s">
        <v>52</v>
      </c>
      <c r="I85" s="21" t="s">
        <v>23</v>
      </c>
      <c r="J85" s="23">
        <v>101332.5</v>
      </c>
      <c r="K85" s="23">
        <v>202665</v>
      </c>
      <c r="L85" s="52">
        <f>IFERROR('RTK andmebaas'!$J85/'RTK andmebaas'!$K85,"")</f>
        <v>0.5</v>
      </c>
      <c r="M85" s="21" t="s">
        <v>24</v>
      </c>
      <c r="N85" s="24">
        <v>45471</v>
      </c>
      <c r="O85" s="25">
        <f t="shared" si="1"/>
        <v>2024</v>
      </c>
      <c r="P85" s="21" t="s">
        <v>25</v>
      </c>
      <c r="Q85" s="21" t="s">
        <v>26</v>
      </c>
      <c r="R85" s="21" t="s">
        <v>27</v>
      </c>
      <c r="S85" s="21" t="s">
        <v>23</v>
      </c>
      <c r="T85" s="22">
        <v>231540</v>
      </c>
      <c r="U85" s="73"/>
    </row>
    <row r="86" spans="1:21" ht="14" customHeight="1" x14ac:dyDescent="0.35">
      <c r="A86" s="69" t="s">
        <v>229</v>
      </c>
      <c r="B86" s="27" t="s">
        <v>49</v>
      </c>
      <c r="C86" s="27" t="s">
        <v>229</v>
      </c>
      <c r="D86" s="28">
        <v>10078210</v>
      </c>
      <c r="E86" s="27" t="s">
        <v>19</v>
      </c>
      <c r="F86" s="27" t="s">
        <v>35</v>
      </c>
      <c r="G86" s="27" t="s">
        <v>21</v>
      </c>
      <c r="H86" s="27" t="s">
        <v>32</v>
      </c>
      <c r="I86" s="27" t="s">
        <v>23</v>
      </c>
      <c r="J86" s="29">
        <v>12522</v>
      </c>
      <c r="K86" s="29">
        <v>41740</v>
      </c>
      <c r="L86" s="53">
        <f>IFERROR('RTK andmebaas'!$J86/'RTK andmebaas'!$K86,"")</f>
        <v>0.3</v>
      </c>
      <c r="M86" s="27" t="s">
        <v>24</v>
      </c>
      <c r="N86" s="19">
        <v>45471</v>
      </c>
      <c r="O86" s="20">
        <f t="shared" si="1"/>
        <v>2024</v>
      </c>
      <c r="P86" s="27" t="s">
        <v>25</v>
      </c>
      <c r="Q86" s="27" t="s">
        <v>26</v>
      </c>
      <c r="R86" s="27" t="s">
        <v>27</v>
      </c>
      <c r="S86" s="27" t="s">
        <v>23</v>
      </c>
      <c r="T86" s="28">
        <v>231540</v>
      </c>
      <c r="U86" s="74"/>
    </row>
    <row r="87" spans="1:21" ht="14" customHeight="1" x14ac:dyDescent="0.35">
      <c r="A87" s="68" t="s">
        <v>230</v>
      </c>
      <c r="B87" s="21" t="s">
        <v>231</v>
      </c>
      <c r="C87" s="21" t="s">
        <v>230</v>
      </c>
      <c r="D87" s="22">
        <v>12365907</v>
      </c>
      <c r="E87" s="21" t="s">
        <v>19</v>
      </c>
      <c r="F87" s="21" t="s">
        <v>20</v>
      </c>
      <c r="G87" s="21" t="s">
        <v>21</v>
      </c>
      <c r="H87" s="21" t="s">
        <v>101</v>
      </c>
      <c r="I87" s="21" t="s">
        <v>23</v>
      </c>
      <c r="J87" s="23">
        <v>138907.22</v>
      </c>
      <c r="K87" s="23">
        <v>277814.43</v>
      </c>
      <c r="L87" s="52">
        <f>IFERROR('RTK andmebaas'!$J87/'RTK andmebaas'!$K87,"")</f>
        <v>0.50000001799762528</v>
      </c>
      <c r="M87" s="21" t="s">
        <v>24</v>
      </c>
      <c r="N87" s="24">
        <v>45468</v>
      </c>
      <c r="O87" s="25">
        <f t="shared" si="1"/>
        <v>2024</v>
      </c>
      <c r="P87" s="21" t="s">
        <v>25</v>
      </c>
      <c r="Q87" s="21" t="s">
        <v>26</v>
      </c>
      <c r="R87" s="21" t="s">
        <v>27</v>
      </c>
      <c r="S87" s="21" t="s">
        <v>23</v>
      </c>
      <c r="T87" s="22">
        <v>231540</v>
      </c>
      <c r="U87" s="73"/>
    </row>
    <row r="88" spans="1:21" ht="14" customHeight="1" x14ac:dyDescent="0.35">
      <c r="A88" s="69" t="s">
        <v>232</v>
      </c>
      <c r="B88" s="27" t="s">
        <v>233</v>
      </c>
      <c r="C88" s="27" t="s">
        <v>232</v>
      </c>
      <c r="D88" s="28">
        <v>10344947</v>
      </c>
      <c r="E88" s="27" t="s">
        <v>19</v>
      </c>
      <c r="F88" s="27" t="s">
        <v>93</v>
      </c>
      <c r="G88" s="27" t="s">
        <v>21</v>
      </c>
      <c r="H88" s="27" t="s">
        <v>234</v>
      </c>
      <c r="I88" s="27" t="s">
        <v>23</v>
      </c>
      <c r="J88" s="29"/>
      <c r="K88" s="29" t="s">
        <v>23</v>
      </c>
      <c r="L88" s="53" t="str">
        <f>IFERROR('RTK andmebaas'!$J88/'RTK andmebaas'!$K88,"")</f>
        <v/>
      </c>
      <c r="M88" s="27" t="s">
        <v>24</v>
      </c>
      <c r="N88" s="19">
        <v>45461</v>
      </c>
      <c r="O88" s="20">
        <f t="shared" si="1"/>
        <v>2024</v>
      </c>
      <c r="P88" s="27" t="s">
        <v>25</v>
      </c>
      <c r="Q88" s="27" t="s">
        <v>26</v>
      </c>
      <c r="R88" s="27" t="s">
        <v>27</v>
      </c>
      <c r="S88" s="27" t="s">
        <v>23</v>
      </c>
      <c r="T88" s="28">
        <v>231540</v>
      </c>
      <c r="U88" s="74"/>
    </row>
    <row r="89" spans="1:21" ht="14" customHeight="1" x14ac:dyDescent="0.35">
      <c r="A89" s="68" t="s">
        <v>235</v>
      </c>
      <c r="B89" s="21" t="s">
        <v>236</v>
      </c>
      <c r="C89" s="21" t="s">
        <v>235</v>
      </c>
      <c r="D89" s="22">
        <v>10798944</v>
      </c>
      <c r="E89" s="21" t="s">
        <v>19</v>
      </c>
      <c r="F89" s="21" t="s">
        <v>35</v>
      </c>
      <c r="G89" s="21" t="s">
        <v>21</v>
      </c>
      <c r="H89" s="21" t="s">
        <v>43</v>
      </c>
      <c r="I89" s="21" t="s">
        <v>23</v>
      </c>
      <c r="J89" s="23">
        <v>97494</v>
      </c>
      <c r="K89" s="23">
        <v>243735</v>
      </c>
      <c r="L89" s="52">
        <f>IFERROR('RTK andmebaas'!$J89/'RTK andmebaas'!$K89,"")</f>
        <v>0.4</v>
      </c>
      <c r="M89" s="21" t="s">
        <v>24</v>
      </c>
      <c r="N89" s="24">
        <v>45457</v>
      </c>
      <c r="O89" s="25">
        <f t="shared" si="1"/>
        <v>2024</v>
      </c>
      <c r="P89" s="21" t="s">
        <v>25</v>
      </c>
      <c r="Q89" s="21" t="s">
        <v>26</v>
      </c>
      <c r="R89" s="21" t="s">
        <v>27</v>
      </c>
      <c r="S89" s="21" t="s">
        <v>23</v>
      </c>
      <c r="T89" s="22">
        <v>231540</v>
      </c>
      <c r="U89" s="73"/>
    </row>
    <row r="90" spans="1:21" ht="14" customHeight="1" x14ac:dyDescent="0.35">
      <c r="A90" s="69" t="s">
        <v>237</v>
      </c>
      <c r="B90" s="27" t="s">
        <v>238</v>
      </c>
      <c r="C90" s="27" t="s">
        <v>237</v>
      </c>
      <c r="D90" s="28">
        <v>11617071</v>
      </c>
      <c r="E90" s="27" t="s">
        <v>19</v>
      </c>
      <c r="F90" s="27" t="s">
        <v>20</v>
      </c>
      <c r="G90" s="27" t="s">
        <v>21</v>
      </c>
      <c r="H90" s="27" t="s">
        <v>239</v>
      </c>
      <c r="I90" s="27" t="s">
        <v>23</v>
      </c>
      <c r="J90" s="29">
        <v>23888.3</v>
      </c>
      <c r="K90" s="29">
        <v>47776.6</v>
      </c>
      <c r="L90" s="53">
        <f>IFERROR('RTK andmebaas'!$J90/'RTK andmebaas'!$K90,"")</f>
        <v>0.5</v>
      </c>
      <c r="M90" s="27" t="s">
        <v>24</v>
      </c>
      <c r="N90" s="19">
        <v>45450</v>
      </c>
      <c r="O90" s="20">
        <f t="shared" si="1"/>
        <v>2024</v>
      </c>
      <c r="P90" s="27" t="s">
        <v>25</v>
      </c>
      <c r="Q90" s="27" t="s">
        <v>26</v>
      </c>
      <c r="R90" s="27" t="s">
        <v>27</v>
      </c>
      <c r="S90" s="27" t="s">
        <v>23</v>
      </c>
      <c r="T90" s="28">
        <v>231540</v>
      </c>
      <c r="U90" s="74"/>
    </row>
    <row r="91" spans="1:21" ht="14" customHeight="1" x14ac:dyDescent="0.35">
      <c r="A91" s="68" t="s">
        <v>240</v>
      </c>
      <c r="B91" s="21" t="s">
        <v>241</v>
      </c>
      <c r="C91" s="21" t="s">
        <v>240</v>
      </c>
      <c r="D91" s="22">
        <v>12509981</v>
      </c>
      <c r="E91" s="21" t="s">
        <v>19</v>
      </c>
      <c r="F91" s="21" t="s">
        <v>46</v>
      </c>
      <c r="G91" s="21" t="s">
        <v>21</v>
      </c>
      <c r="H91" s="21" t="s">
        <v>130</v>
      </c>
      <c r="I91" s="21" t="s">
        <v>23</v>
      </c>
      <c r="J91" s="23">
        <v>16240.8</v>
      </c>
      <c r="K91" s="23">
        <v>40602</v>
      </c>
      <c r="L91" s="52">
        <f>IFERROR('RTK andmebaas'!$J91/'RTK andmebaas'!$K91,"")</f>
        <v>0.39999999999999997</v>
      </c>
      <c r="M91" s="21" t="s">
        <v>24</v>
      </c>
      <c r="N91" s="24">
        <v>45448</v>
      </c>
      <c r="O91" s="25">
        <f t="shared" si="1"/>
        <v>2024</v>
      </c>
      <c r="P91" s="21" t="s">
        <v>25</v>
      </c>
      <c r="Q91" s="21" t="s">
        <v>26</v>
      </c>
      <c r="R91" s="21" t="s">
        <v>27</v>
      </c>
      <c r="S91" s="21" t="s">
        <v>23</v>
      </c>
      <c r="T91" s="22">
        <v>231540</v>
      </c>
      <c r="U91" s="73"/>
    </row>
    <row r="92" spans="1:21" ht="14" customHeight="1" x14ac:dyDescent="0.35">
      <c r="A92" s="69" t="s">
        <v>242</v>
      </c>
      <c r="B92" s="27" t="s">
        <v>243</v>
      </c>
      <c r="C92" s="27" t="s">
        <v>242</v>
      </c>
      <c r="D92" s="28">
        <v>10635596</v>
      </c>
      <c r="E92" s="27" t="s">
        <v>19</v>
      </c>
      <c r="F92" s="27" t="s">
        <v>20</v>
      </c>
      <c r="G92" s="27" t="s">
        <v>21</v>
      </c>
      <c r="H92" s="27" t="s">
        <v>217</v>
      </c>
      <c r="I92" s="27" t="s">
        <v>23</v>
      </c>
      <c r="J92" s="29">
        <v>18669</v>
      </c>
      <c r="K92" s="29">
        <v>37338</v>
      </c>
      <c r="L92" s="53">
        <f>IFERROR('RTK andmebaas'!$J92/'RTK andmebaas'!$K92,"")</f>
        <v>0.5</v>
      </c>
      <c r="M92" s="27" t="s">
        <v>24</v>
      </c>
      <c r="N92" s="19">
        <v>45433</v>
      </c>
      <c r="O92" s="20">
        <f t="shared" si="1"/>
        <v>2024</v>
      </c>
      <c r="P92" s="27" t="s">
        <v>25</v>
      </c>
      <c r="Q92" s="27" t="s">
        <v>26</v>
      </c>
      <c r="R92" s="27" t="s">
        <v>27</v>
      </c>
      <c r="S92" s="27" t="s">
        <v>23</v>
      </c>
      <c r="T92" s="28">
        <v>231540</v>
      </c>
      <c r="U92" s="74"/>
    </row>
    <row r="93" spans="1:21" ht="14" customHeight="1" x14ac:dyDescent="0.35">
      <c r="A93" s="68" t="s">
        <v>244</v>
      </c>
      <c r="B93" s="21" t="s">
        <v>245</v>
      </c>
      <c r="C93" s="21" t="s">
        <v>244</v>
      </c>
      <c r="D93" s="22">
        <v>10270580</v>
      </c>
      <c r="E93" s="21" t="s">
        <v>19</v>
      </c>
      <c r="F93" s="21" t="s">
        <v>93</v>
      </c>
      <c r="G93" s="21" t="s">
        <v>21</v>
      </c>
      <c r="H93" s="21" t="s">
        <v>47</v>
      </c>
      <c r="I93" s="21" t="s">
        <v>23</v>
      </c>
      <c r="J93" s="23">
        <v>20400</v>
      </c>
      <c r="K93" s="23">
        <v>68000</v>
      </c>
      <c r="L93" s="52">
        <f>IFERROR('RTK andmebaas'!$J93/'RTK andmebaas'!$K93,"")</f>
        <v>0.3</v>
      </c>
      <c r="M93" s="21" t="s">
        <v>24</v>
      </c>
      <c r="N93" s="24">
        <v>45422</v>
      </c>
      <c r="O93" s="25">
        <f t="shared" si="1"/>
        <v>2024</v>
      </c>
      <c r="P93" s="21" t="s">
        <v>25</v>
      </c>
      <c r="Q93" s="21" t="s">
        <v>26</v>
      </c>
      <c r="R93" s="21" t="s">
        <v>27</v>
      </c>
      <c r="S93" s="21" t="s">
        <v>23</v>
      </c>
      <c r="T93" s="22">
        <v>231540</v>
      </c>
      <c r="U93" s="73"/>
    </row>
    <row r="94" spans="1:21" ht="14" customHeight="1" x14ac:dyDescent="0.35">
      <c r="A94" s="69" t="s">
        <v>246</v>
      </c>
      <c r="B94" s="27" t="s">
        <v>247</v>
      </c>
      <c r="C94" s="27" t="s">
        <v>246</v>
      </c>
      <c r="D94" s="28">
        <v>11162830</v>
      </c>
      <c r="E94" s="27" t="s">
        <v>19</v>
      </c>
      <c r="F94" s="27" t="s">
        <v>93</v>
      </c>
      <c r="G94" s="27" t="s">
        <v>21</v>
      </c>
      <c r="H94" s="27" t="s">
        <v>63</v>
      </c>
      <c r="I94" s="27" t="s">
        <v>23</v>
      </c>
      <c r="J94" s="29">
        <v>10960.5</v>
      </c>
      <c r="K94" s="29">
        <v>36535</v>
      </c>
      <c r="L94" s="53">
        <f>IFERROR('RTK andmebaas'!$J94/'RTK andmebaas'!$K94,"")</f>
        <v>0.3</v>
      </c>
      <c r="M94" s="27" t="s">
        <v>24</v>
      </c>
      <c r="N94" s="19">
        <v>45422</v>
      </c>
      <c r="O94" s="20">
        <f t="shared" si="1"/>
        <v>2024</v>
      </c>
      <c r="P94" s="27" t="s">
        <v>25</v>
      </c>
      <c r="Q94" s="27" t="s">
        <v>26</v>
      </c>
      <c r="R94" s="27" t="s">
        <v>27</v>
      </c>
      <c r="S94" s="27" t="s">
        <v>23</v>
      </c>
      <c r="T94" s="28">
        <v>231540</v>
      </c>
      <c r="U94" s="74"/>
    </row>
    <row r="95" spans="1:21" ht="14" customHeight="1" x14ac:dyDescent="0.35">
      <c r="A95" s="68" t="s">
        <v>248</v>
      </c>
      <c r="B95" s="21" t="s">
        <v>249</v>
      </c>
      <c r="C95" s="21" t="s">
        <v>248</v>
      </c>
      <c r="D95" s="22">
        <v>11281775</v>
      </c>
      <c r="E95" s="21" t="s">
        <v>19</v>
      </c>
      <c r="F95" s="21" t="s">
        <v>93</v>
      </c>
      <c r="G95" s="21" t="s">
        <v>21</v>
      </c>
      <c r="H95" s="21" t="s">
        <v>63</v>
      </c>
      <c r="I95" s="21" t="s">
        <v>23</v>
      </c>
      <c r="J95" s="23">
        <v>14210.6</v>
      </c>
      <c r="K95" s="23">
        <v>71053</v>
      </c>
      <c r="L95" s="52">
        <f>IFERROR('RTK andmebaas'!$J95/'RTK andmebaas'!$K95,"")</f>
        <v>0.2</v>
      </c>
      <c r="M95" s="21" t="s">
        <v>24</v>
      </c>
      <c r="N95" s="24">
        <v>45422</v>
      </c>
      <c r="O95" s="25">
        <f t="shared" si="1"/>
        <v>2024</v>
      </c>
      <c r="P95" s="21" t="s">
        <v>25</v>
      </c>
      <c r="Q95" s="21" t="s">
        <v>26</v>
      </c>
      <c r="R95" s="21" t="s">
        <v>27</v>
      </c>
      <c r="S95" s="21" t="s">
        <v>23</v>
      </c>
      <c r="T95" s="22">
        <v>231540</v>
      </c>
      <c r="U95" s="73"/>
    </row>
    <row r="96" spans="1:21" ht="14" customHeight="1" x14ac:dyDescent="0.35">
      <c r="A96" s="69" t="s">
        <v>250</v>
      </c>
      <c r="B96" s="27" t="s">
        <v>249</v>
      </c>
      <c r="C96" s="27" t="s">
        <v>250</v>
      </c>
      <c r="D96" s="28">
        <v>11281775</v>
      </c>
      <c r="E96" s="27" t="s">
        <v>19</v>
      </c>
      <c r="F96" s="27" t="s">
        <v>93</v>
      </c>
      <c r="G96" s="27" t="s">
        <v>21</v>
      </c>
      <c r="H96" s="27" t="s">
        <v>136</v>
      </c>
      <c r="I96" s="27" t="s">
        <v>23</v>
      </c>
      <c r="J96" s="29">
        <v>50616</v>
      </c>
      <c r="K96" s="29">
        <v>168720</v>
      </c>
      <c r="L96" s="53">
        <f>IFERROR('RTK andmebaas'!$J96/'RTK andmebaas'!$K96,"")</f>
        <v>0.3</v>
      </c>
      <c r="M96" s="27" t="s">
        <v>24</v>
      </c>
      <c r="N96" s="19">
        <v>45422</v>
      </c>
      <c r="O96" s="20">
        <f t="shared" si="1"/>
        <v>2024</v>
      </c>
      <c r="P96" s="27" t="s">
        <v>25</v>
      </c>
      <c r="Q96" s="27" t="s">
        <v>26</v>
      </c>
      <c r="R96" s="27" t="s">
        <v>27</v>
      </c>
      <c r="S96" s="27" t="s">
        <v>23</v>
      </c>
      <c r="T96" s="28">
        <v>231540</v>
      </c>
      <c r="U96" s="74"/>
    </row>
    <row r="97" spans="1:21" ht="14" customHeight="1" x14ac:dyDescent="0.35">
      <c r="A97" s="68" t="s">
        <v>251</v>
      </c>
      <c r="B97" s="21" t="s">
        <v>252</v>
      </c>
      <c r="C97" s="21" t="s">
        <v>251</v>
      </c>
      <c r="D97" s="22">
        <v>10077848</v>
      </c>
      <c r="E97" s="21" t="s">
        <v>19</v>
      </c>
      <c r="F97" s="21" t="s">
        <v>93</v>
      </c>
      <c r="G97" s="21" t="s">
        <v>21</v>
      </c>
      <c r="H97" s="21" t="s">
        <v>253</v>
      </c>
      <c r="I97" s="21" t="s">
        <v>23</v>
      </c>
      <c r="J97" s="23">
        <v>48239.4</v>
      </c>
      <c r="K97" s="23">
        <v>160798</v>
      </c>
      <c r="L97" s="52">
        <f>IFERROR('RTK andmebaas'!$J97/'RTK andmebaas'!$K97,"")</f>
        <v>0.3</v>
      </c>
      <c r="M97" s="21" t="s">
        <v>24</v>
      </c>
      <c r="N97" s="24">
        <v>45419</v>
      </c>
      <c r="O97" s="25">
        <f t="shared" si="1"/>
        <v>2024</v>
      </c>
      <c r="P97" s="21" t="s">
        <v>25</v>
      </c>
      <c r="Q97" s="21" t="s">
        <v>26</v>
      </c>
      <c r="R97" s="21" t="s">
        <v>27</v>
      </c>
      <c r="S97" s="21" t="s">
        <v>23</v>
      </c>
      <c r="T97" s="22">
        <v>231540</v>
      </c>
      <c r="U97" s="73"/>
    </row>
    <row r="98" spans="1:21" ht="14" customHeight="1" x14ac:dyDescent="0.35">
      <c r="A98" s="69" t="s">
        <v>254</v>
      </c>
      <c r="B98" s="27" t="s">
        <v>255</v>
      </c>
      <c r="C98" s="27" t="s">
        <v>628</v>
      </c>
      <c r="D98" s="28">
        <v>11006552</v>
      </c>
      <c r="E98" s="27" t="s">
        <v>19</v>
      </c>
      <c r="F98" s="27" t="s">
        <v>46</v>
      </c>
      <c r="G98" s="27" t="s">
        <v>21</v>
      </c>
      <c r="H98" s="27" t="s">
        <v>130</v>
      </c>
      <c r="I98" s="27" t="s">
        <v>23</v>
      </c>
      <c r="J98" s="29">
        <v>30654.959999999999</v>
      </c>
      <c r="K98" s="29">
        <v>62245.32</v>
      </c>
      <c r="L98" s="53">
        <f>IFERROR('RTK andmebaas'!$J98/'RTK andmebaas'!$K98,"")</f>
        <v>0.49248618209368994</v>
      </c>
      <c r="M98" s="27" t="s">
        <v>24</v>
      </c>
      <c r="N98" s="19">
        <v>45419</v>
      </c>
      <c r="O98" s="20">
        <f t="shared" si="1"/>
        <v>2024</v>
      </c>
      <c r="P98" s="27" t="s">
        <v>25</v>
      </c>
      <c r="Q98" s="27" t="s">
        <v>26</v>
      </c>
      <c r="R98" s="27" t="s">
        <v>27</v>
      </c>
      <c r="S98" s="27" t="s">
        <v>23</v>
      </c>
      <c r="T98" s="28">
        <v>231540</v>
      </c>
      <c r="U98" s="74"/>
    </row>
    <row r="99" spans="1:21" ht="14" customHeight="1" x14ac:dyDescent="0.35">
      <c r="A99" s="68" t="s">
        <v>256</v>
      </c>
      <c r="B99" s="21" t="s">
        <v>78</v>
      </c>
      <c r="C99" s="21" t="s">
        <v>256</v>
      </c>
      <c r="D99" s="22">
        <v>10302662</v>
      </c>
      <c r="E99" s="21" t="s">
        <v>19</v>
      </c>
      <c r="F99" s="21" t="s">
        <v>20</v>
      </c>
      <c r="G99" s="21" t="s">
        <v>21</v>
      </c>
      <c r="H99" s="21" t="s">
        <v>79</v>
      </c>
      <c r="I99" s="21" t="s">
        <v>23</v>
      </c>
      <c r="J99" s="23">
        <v>42500</v>
      </c>
      <c r="K99" s="23">
        <v>85000</v>
      </c>
      <c r="L99" s="52">
        <f>IFERROR('RTK andmebaas'!$J99/'RTK andmebaas'!$K99,"")</f>
        <v>0.5</v>
      </c>
      <c r="M99" s="21" t="s">
        <v>24</v>
      </c>
      <c r="N99" s="24">
        <v>45412</v>
      </c>
      <c r="O99" s="25">
        <f t="shared" si="1"/>
        <v>2024</v>
      </c>
      <c r="P99" s="21" t="s">
        <v>25</v>
      </c>
      <c r="Q99" s="21" t="s">
        <v>26</v>
      </c>
      <c r="R99" s="21" t="s">
        <v>27</v>
      </c>
      <c r="S99" s="21" t="s">
        <v>23</v>
      </c>
      <c r="T99" s="22">
        <v>231540</v>
      </c>
      <c r="U99" s="73"/>
    </row>
    <row r="100" spans="1:21" ht="14" customHeight="1" x14ac:dyDescent="0.35">
      <c r="A100" s="69" t="s">
        <v>257</v>
      </c>
      <c r="B100" s="27" t="s">
        <v>258</v>
      </c>
      <c r="C100" s="27" t="s">
        <v>257</v>
      </c>
      <c r="D100" s="28">
        <v>12970040</v>
      </c>
      <c r="E100" s="27" t="s">
        <v>19</v>
      </c>
      <c r="F100" s="27" t="s">
        <v>35</v>
      </c>
      <c r="G100" s="27" t="s">
        <v>21</v>
      </c>
      <c r="H100" s="27" t="s">
        <v>259</v>
      </c>
      <c r="I100" s="27" t="s">
        <v>23</v>
      </c>
      <c r="J100" s="29">
        <v>30726.400000000001</v>
      </c>
      <c r="K100" s="29">
        <v>76816</v>
      </c>
      <c r="L100" s="53">
        <f>IFERROR('RTK andmebaas'!$J100/'RTK andmebaas'!$K100,"")</f>
        <v>0.4</v>
      </c>
      <c r="M100" s="27" t="s">
        <v>24</v>
      </c>
      <c r="N100" s="19">
        <v>45412</v>
      </c>
      <c r="O100" s="20">
        <f t="shared" si="1"/>
        <v>2024</v>
      </c>
      <c r="P100" s="27" t="s">
        <v>25</v>
      </c>
      <c r="Q100" s="27" t="s">
        <v>26</v>
      </c>
      <c r="R100" s="27" t="s">
        <v>27</v>
      </c>
      <c r="S100" s="27" t="s">
        <v>23</v>
      </c>
      <c r="T100" s="28">
        <v>231540</v>
      </c>
      <c r="U100" s="74"/>
    </row>
    <row r="101" spans="1:21" ht="14" customHeight="1" x14ac:dyDescent="0.35">
      <c r="A101" s="68" t="s">
        <v>260</v>
      </c>
      <c r="B101" s="21" t="s">
        <v>261</v>
      </c>
      <c r="C101" s="21" t="s">
        <v>260</v>
      </c>
      <c r="D101" s="22">
        <v>10810378</v>
      </c>
      <c r="E101" s="21" t="s">
        <v>19</v>
      </c>
      <c r="F101" s="21" t="s">
        <v>35</v>
      </c>
      <c r="G101" s="21" t="s">
        <v>21</v>
      </c>
      <c r="H101" s="21" t="s">
        <v>262</v>
      </c>
      <c r="I101" s="21" t="s">
        <v>23</v>
      </c>
      <c r="J101" s="23">
        <v>68000</v>
      </c>
      <c r="K101" s="23">
        <v>170000</v>
      </c>
      <c r="L101" s="52">
        <f>IFERROR('RTK andmebaas'!$J101/'RTK andmebaas'!$K101,"")</f>
        <v>0.4</v>
      </c>
      <c r="M101" s="21" t="s">
        <v>24</v>
      </c>
      <c r="N101" s="24">
        <v>45411</v>
      </c>
      <c r="O101" s="25">
        <f t="shared" si="1"/>
        <v>2024</v>
      </c>
      <c r="P101" s="21" t="s">
        <v>25</v>
      </c>
      <c r="Q101" s="21" t="s">
        <v>26</v>
      </c>
      <c r="R101" s="21" t="s">
        <v>27</v>
      </c>
      <c r="S101" s="21" t="s">
        <v>23</v>
      </c>
      <c r="T101" s="22">
        <v>231540</v>
      </c>
      <c r="U101" s="73"/>
    </row>
    <row r="102" spans="1:21" ht="14" customHeight="1" x14ac:dyDescent="0.35">
      <c r="A102" s="69" t="s">
        <v>263</v>
      </c>
      <c r="B102" s="27" t="s">
        <v>264</v>
      </c>
      <c r="C102" s="27" t="s">
        <v>263</v>
      </c>
      <c r="D102" s="28">
        <v>10995277</v>
      </c>
      <c r="E102" s="27" t="s">
        <v>19</v>
      </c>
      <c r="F102" s="27" t="s">
        <v>46</v>
      </c>
      <c r="G102" s="27" t="s">
        <v>21</v>
      </c>
      <c r="H102" s="27" t="s">
        <v>265</v>
      </c>
      <c r="I102" s="27" t="s">
        <v>23</v>
      </c>
      <c r="J102" s="29">
        <v>10092</v>
      </c>
      <c r="K102" s="29">
        <v>25230</v>
      </c>
      <c r="L102" s="53">
        <f>IFERROR('RTK andmebaas'!$J102/'RTK andmebaas'!$K102,"")</f>
        <v>0.4</v>
      </c>
      <c r="M102" s="27" t="s">
        <v>24</v>
      </c>
      <c r="N102" s="19">
        <v>45398</v>
      </c>
      <c r="O102" s="20">
        <f t="shared" si="1"/>
        <v>2024</v>
      </c>
      <c r="P102" s="27" t="s">
        <v>25</v>
      </c>
      <c r="Q102" s="27" t="s">
        <v>26</v>
      </c>
      <c r="R102" s="27" t="s">
        <v>27</v>
      </c>
      <c r="S102" s="27" t="s">
        <v>23</v>
      </c>
      <c r="T102" s="28">
        <v>231540</v>
      </c>
      <c r="U102" s="74"/>
    </row>
    <row r="103" spans="1:21" ht="14" customHeight="1" x14ac:dyDescent="0.35">
      <c r="A103" s="68" t="s">
        <v>266</v>
      </c>
      <c r="B103" s="21" t="s">
        <v>267</v>
      </c>
      <c r="C103" s="21" t="s">
        <v>266</v>
      </c>
      <c r="D103" s="22">
        <v>11317450</v>
      </c>
      <c r="E103" s="21" t="s">
        <v>19</v>
      </c>
      <c r="F103" s="21" t="s">
        <v>20</v>
      </c>
      <c r="G103" s="21" t="s">
        <v>21</v>
      </c>
      <c r="H103" s="21" t="s">
        <v>101</v>
      </c>
      <c r="I103" s="21" t="s">
        <v>23</v>
      </c>
      <c r="J103" s="23">
        <v>43000</v>
      </c>
      <c r="K103" s="23">
        <v>86000</v>
      </c>
      <c r="L103" s="52">
        <f>IFERROR('RTK andmebaas'!$J103/'RTK andmebaas'!$K103,"")</f>
        <v>0.5</v>
      </c>
      <c r="M103" s="21" t="s">
        <v>24</v>
      </c>
      <c r="N103" s="24">
        <v>45392</v>
      </c>
      <c r="O103" s="25">
        <f t="shared" si="1"/>
        <v>2024</v>
      </c>
      <c r="P103" s="21" t="s">
        <v>25</v>
      </c>
      <c r="Q103" s="21" t="s">
        <v>26</v>
      </c>
      <c r="R103" s="21" t="s">
        <v>27</v>
      </c>
      <c r="S103" s="21" t="s">
        <v>23</v>
      </c>
      <c r="T103" s="22">
        <v>231540</v>
      </c>
      <c r="U103" s="73"/>
    </row>
    <row r="104" spans="1:21" ht="14" customHeight="1" x14ac:dyDescent="0.35">
      <c r="A104" s="69" t="s">
        <v>268</v>
      </c>
      <c r="B104" s="27" t="s">
        <v>196</v>
      </c>
      <c r="C104" s="27" t="s">
        <v>268</v>
      </c>
      <c r="D104" s="28">
        <v>10560579</v>
      </c>
      <c r="E104" s="27" t="s">
        <v>19</v>
      </c>
      <c r="F104" s="27" t="s">
        <v>46</v>
      </c>
      <c r="G104" s="27" t="s">
        <v>21</v>
      </c>
      <c r="H104" s="27" t="s">
        <v>197</v>
      </c>
      <c r="I104" s="27" t="s">
        <v>23</v>
      </c>
      <c r="J104" s="29">
        <v>36973.5</v>
      </c>
      <c r="K104" s="29">
        <v>73947</v>
      </c>
      <c r="L104" s="53">
        <f>IFERROR('RTK andmebaas'!$J104/'RTK andmebaas'!$K104,"")</f>
        <v>0.5</v>
      </c>
      <c r="M104" s="27" t="s">
        <v>24</v>
      </c>
      <c r="N104" s="19">
        <v>45360</v>
      </c>
      <c r="O104" s="20">
        <f t="shared" si="1"/>
        <v>2024</v>
      </c>
      <c r="P104" s="27" t="s">
        <v>25</v>
      </c>
      <c r="Q104" s="27" t="s">
        <v>26</v>
      </c>
      <c r="R104" s="27" t="s">
        <v>27</v>
      </c>
      <c r="S104" s="27" t="s">
        <v>23</v>
      </c>
      <c r="T104" s="28">
        <v>231540</v>
      </c>
      <c r="U104" s="74"/>
    </row>
    <row r="105" spans="1:21" ht="14" customHeight="1" x14ac:dyDescent="0.35">
      <c r="A105" s="68" t="s">
        <v>269</v>
      </c>
      <c r="B105" s="21" t="s">
        <v>270</v>
      </c>
      <c r="C105" s="21" t="s">
        <v>269</v>
      </c>
      <c r="D105" s="22">
        <v>10269772</v>
      </c>
      <c r="E105" s="21" t="s">
        <v>19</v>
      </c>
      <c r="F105" s="21" t="s">
        <v>20</v>
      </c>
      <c r="G105" s="21" t="s">
        <v>21</v>
      </c>
      <c r="H105" s="21" t="s">
        <v>47</v>
      </c>
      <c r="I105" s="21" t="s">
        <v>23</v>
      </c>
      <c r="J105" s="23">
        <v>27500</v>
      </c>
      <c r="K105" s="23">
        <v>55000</v>
      </c>
      <c r="L105" s="52">
        <f>IFERROR('RTK andmebaas'!$J105/'RTK andmebaas'!$K105,"")</f>
        <v>0.5</v>
      </c>
      <c r="M105" s="21" t="s">
        <v>24</v>
      </c>
      <c r="N105" s="24">
        <v>45358</v>
      </c>
      <c r="O105" s="25">
        <f t="shared" si="1"/>
        <v>2024</v>
      </c>
      <c r="P105" s="21" t="s">
        <v>25</v>
      </c>
      <c r="Q105" s="21" t="s">
        <v>26</v>
      </c>
      <c r="R105" s="21" t="s">
        <v>27</v>
      </c>
      <c r="S105" s="21" t="s">
        <v>23</v>
      </c>
      <c r="T105" s="22">
        <v>231540</v>
      </c>
      <c r="U105" s="73"/>
    </row>
    <row r="106" spans="1:21" ht="14" customHeight="1" x14ac:dyDescent="0.35">
      <c r="A106" s="69" t="s">
        <v>271</v>
      </c>
      <c r="B106" s="27" t="s">
        <v>272</v>
      </c>
      <c r="C106" s="31" t="s">
        <v>626</v>
      </c>
      <c r="D106" s="28">
        <v>10899349</v>
      </c>
      <c r="E106" s="27" t="s">
        <v>19</v>
      </c>
      <c r="F106" s="27" t="s">
        <v>20</v>
      </c>
      <c r="G106" s="27" t="s">
        <v>21</v>
      </c>
      <c r="H106" s="27" t="s">
        <v>273</v>
      </c>
      <c r="I106" s="27" t="s">
        <v>23</v>
      </c>
      <c r="J106" s="29">
        <v>35787.449999999997</v>
      </c>
      <c r="K106" s="29">
        <v>77971</v>
      </c>
      <c r="L106" s="53">
        <f>IFERROR('RTK andmebaas'!$J106/'RTK andmebaas'!$K106,"")</f>
        <v>0.45898410947660023</v>
      </c>
      <c r="M106" s="27" t="s">
        <v>24</v>
      </c>
      <c r="N106" s="19">
        <v>45350</v>
      </c>
      <c r="O106" s="20">
        <f t="shared" si="1"/>
        <v>2024</v>
      </c>
      <c r="P106" s="27" t="s">
        <v>25</v>
      </c>
      <c r="Q106" s="27" t="s">
        <v>26</v>
      </c>
      <c r="R106" s="27" t="s">
        <v>27</v>
      </c>
      <c r="S106" s="27" t="s">
        <v>23</v>
      </c>
      <c r="T106" s="28">
        <v>231540</v>
      </c>
      <c r="U106" s="74"/>
    </row>
    <row r="107" spans="1:21" ht="14" customHeight="1" x14ac:dyDescent="0.35">
      <c r="A107" s="68" t="s">
        <v>274</v>
      </c>
      <c r="B107" s="21" t="s">
        <v>59</v>
      </c>
      <c r="C107" s="21" t="s">
        <v>622</v>
      </c>
      <c r="D107" s="22">
        <v>10274158</v>
      </c>
      <c r="E107" s="21" t="s">
        <v>19</v>
      </c>
      <c r="F107" s="21" t="s">
        <v>20</v>
      </c>
      <c r="G107" s="21" t="s">
        <v>21</v>
      </c>
      <c r="H107" s="21" t="s">
        <v>60</v>
      </c>
      <c r="I107" s="21" t="s">
        <v>23</v>
      </c>
      <c r="J107" s="23">
        <v>49020</v>
      </c>
      <c r="K107" s="23">
        <v>119900</v>
      </c>
      <c r="L107" s="52">
        <f>IFERROR('RTK andmebaas'!$J107/'RTK andmebaas'!$K107,"")</f>
        <v>0.40884070058381983</v>
      </c>
      <c r="M107" s="21" t="s">
        <v>24</v>
      </c>
      <c r="N107" s="24">
        <v>45350</v>
      </c>
      <c r="O107" s="25">
        <f t="shared" si="1"/>
        <v>2024</v>
      </c>
      <c r="P107" s="21" t="s">
        <v>25</v>
      </c>
      <c r="Q107" s="21" t="s">
        <v>26</v>
      </c>
      <c r="R107" s="21" t="s">
        <v>27</v>
      </c>
      <c r="S107" s="21" t="s">
        <v>23</v>
      </c>
      <c r="T107" s="22">
        <v>231540</v>
      </c>
      <c r="U107" s="73"/>
    </row>
    <row r="108" spans="1:21" ht="14" customHeight="1" x14ac:dyDescent="0.35">
      <c r="A108" s="69" t="s">
        <v>275</v>
      </c>
      <c r="B108" s="27" t="s">
        <v>276</v>
      </c>
      <c r="C108" s="27" t="s">
        <v>275</v>
      </c>
      <c r="D108" s="28">
        <v>10165009</v>
      </c>
      <c r="E108" s="27" t="s">
        <v>19</v>
      </c>
      <c r="F108" s="27" t="s">
        <v>20</v>
      </c>
      <c r="G108" s="27" t="s">
        <v>21</v>
      </c>
      <c r="H108" s="27" t="s">
        <v>277</v>
      </c>
      <c r="I108" s="27" t="s">
        <v>23</v>
      </c>
      <c r="J108" s="29">
        <v>9753</v>
      </c>
      <c r="K108" s="29">
        <v>19506</v>
      </c>
      <c r="L108" s="53">
        <f>IFERROR('RTK andmebaas'!$J108/'RTK andmebaas'!$K108,"")</f>
        <v>0.5</v>
      </c>
      <c r="M108" s="27" t="s">
        <v>24</v>
      </c>
      <c r="N108" s="19">
        <v>45350</v>
      </c>
      <c r="O108" s="20">
        <f t="shared" si="1"/>
        <v>2024</v>
      </c>
      <c r="P108" s="27" t="s">
        <v>25</v>
      </c>
      <c r="Q108" s="27" t="s">
        <v>26</v>
      </c>
      <c r="R108" s="27" t="s">
        <v>27</v>
      </c>
      <c r="S108" s="27" t="s">
        <v>23</v>
      </c>
      <c r="T108" s="28">
        <v>231540</v>
      </c>
      <c r="U108" s="74"/>
    </row>
    <row r="109" spans="1:21" ht="14" customHeight="1" x14ac:dyDescent="0.35">
      <c r="A109" s="68" t="s">
        <v>278</v>
      </c>
      <c r="B109" s="21" t="s">
        <v>164</v>
      </c>
      <c r="C109" s="21" t="s">
        <v>617</v>
      </c>
      <c r="D109" s="22">
        <v>10004973</v>
      </c>
      <c r="E109" s="21" t="s">
        <v>19</v>
      </c>
      <c r="F109" s="21" t="s">
        <v>93</v>
      </c>
      <c r="G109" s="21" t="s">
        <v>21</v>
      </c>
      <c r="H109" s="21" t="s">
        <v>174</v>
      </c>
      <c r="I109" s="21" t="s">
        <v>23</v>
      </c>
      <c r="J109" s="23">
        <v>5850</v>
      </c>
      <c r="K109" s="23">
        <v>25000</v>
      </c>
      <c r="L109" s="52">
        <f>IFERROR('RTK andmebaas'!$J109/'RTK andmebaas'!$K109,"")</f>
        <v>0.23400000000000001</v>
      </c>
      <c r="M109" s="21" t="s">
        <v>24</v>
      </c>
      <c r="N109" s="24">
        <v>45345</v>
      </c>
      <c r="O109" s="25">
        <f t="shared" si="1"/>
        <v>2024</v>
      </c>
      <c r="P109" s="21" t="s">
        <v>25</v>
      </c>
      <c r="Q109" s="21" t="s">
        <v>26</v>
      </c>
      <c r="R109" s="21" t="s">
        <v>27</v>
      </c>
      <c r="S109" s="21" t="s">
        <v>23</v>
      </c>
      <c r="T109" s="22">
        <v>231540</v>
      </c>
      <c r="U109" s="73"/>
    </row>
    <row r="110" spans="1:21" ht="14" customHeight="1" x14ac:dyDescent="0.35">
      <c r="A110" s="69" t="s">
        <v>279</v>
      </c>
      <c r="B110" s="27" t="s">
        <v>280</v>
      </c>
      <c r="C110" s="27" t="s">
        <v>279</v>
      </c>
      <c r="D110" s="28">
        <v>11309048</v>
      </c>
      <c r="E110" s="27" t="s">
        <v>19</v>
      </c>
      <c r="F110" s="27" t="s">
        <v>93</v>
      </c>
      <c r="G110" s="27" t="s">
        <v>21</v>
      </c>
      <c r="H110" s="27" t="s">
        <v>189</v>
      </c>
      <c r="I110" s="27" t="s">
        <v>23</v>
      </c>
      <c r="J110" s="29">
        <v>39000</v>
      </c>
      <c r="K110" s="29">
        <v>195000</v>
      </c>
      <c r="L110" s="53">
        <f>IFERROR('RTK andmebaas'!$J110/'RTK andmebaas'!$K110,"")</f>
        <v>0.2</v>
      </c>
      <c r="M110" s="27" t="s">
        <v>24</v>
      </c>
      <c r="N110" s="19">
        <v>45342</v>
      </c>
      <c r="O110" s="20">
        <f t="shared" si="1"/>
        <v>2024</v>
      </c>
      <c r="P110" s="27" t="s">
        <v>25</v>
      </c>
      <c r="Q110" s="27" t="s">
        <v>26</v>
      </c>
      <c r="R110" s="27" t="s">
        <v>27</v>
      </c>
      <c r="S110" s="27" t="s">
        <v>23</v>
      </c>
      <c r="T110" s="28">
        <v>231540</v>
      </c>
      <c r="U110" s="74"/>
    </row>
    <row r="111" spans="1:21" ht="14" customHeight="1" x14ac:dyDescent="0.35">
      <c r="A111" s="68" t="s">
        <v>281</v>
      </c>
      <c r="B111" s="21" t="s">
        <v>282</v>
      </c>
      <c r="C111" s="32" t="s">
        <v>623</v>
      </c>
      <c r="D111" s="22">
        <v>10493647</v>
      </c>
      <c r="E111" s="21" t="s">
        <v>19</v>
      </c>
      <c r="F111" s="21" t="s">
        <v>20</v>
      </c>
      <c r="G111" s="21" t="s">
        <v>21</v>
      </c>
      <c r="H111" s="21" t="s">
        <v>101</v>
      </c>
      <c r="I111" s="21" t="s">
        <v>23</v>
      </c>
      <c r="J111" s="23">
        <v>20484.41</v>
      </c>
      <c r="K111" s="23">
        <v>45000</v>
      </c>
      <c r="L111" s="52">
        <f>IFERROR('RTK andmebaas'!$J111/'RTK andmebaas'!$K111,"")</f>
        <v>0.45520911111111112</v>
      </c>
      <c r="M111" s="21" t="s">
        <v>24</v>
      </c>
      <c r="N111" s="24">
        <v>45341</v>
      </c>
      <c r="O111" s="25">
        <f t="shared" si="1"/>
        <v>2024</v>
      </c>
      <c r="P111" s="21" t="s">
        <v>25</v>
      </c>
      <c r="Q111" s="21" t="s">
        <v>26</v>
      </c>
      <c r="R111" s="21" t="s">
        <v>27</v>
      </c>
      <c r="S111" s="21" t="s">
        <v>23</v>
      </c>
      <c r="T111" s="22">
        <v>231540</v>
      </c>
      <c r="U111" s="73"/>
    </row>
    <row r="112" spans="1:21" ht="14" customHeight="1" x14ac:dyDescent="0.35">
      <c r="A112" s="69" t="s">
        <v>283</v>
      </c>
      <c r="B112" s="27" t="s">
        <v>284</v>
      </c>
      <c r="C112" s="27" t="s">
        <v>624</v>
      </c>
      <c r="D112" s="28">
        <v>10803289</v>
      </c>
      <c r="E112" s="27" t="s">
        <v>19</v>
      </c>
      <c r="F112" s="27" t="s">
        <v>93</v>
      </c>
      <c r="G112" s="27" t="s">
        <v>21</v>
      </c>
      <c r="H112" s="27" t="s">
        <v>104</v>
      </c>
      <c r="I112" s="27" t="s">
        <v>23</v>
      </c>
      <c r="J112" s="29">
        <v>23348.28</v>
      </c>
      <c r="K112" s="29">
        <v>91233</v>
      </c>
      <c r="L112" s="53">
        <f>IFERROR('RTK andmebaas'!$J112/'RTK andmebaas'!$K112,"")</f>
        <v>0.25591923974877512</v>
      </c>
      <c r="M112" s="27" t="s">
        <v>24</v>
      </c>
      <c r="N112" s="19">
        <v>45338</v>
      </c>
      <c r="O112" s="20">
        <f t="shared" si="1"/>
        <v>2024</v>
      </c>
      <c r="P112" s="27" t="s">
        <v>25</v>
      </c>
      <c r="Q112" s="27" t="s">
        <v>26</v>
      </c>
      <c r="R112" s="27" t="s">
        <v>27</v>
      </c>
      <c r="S112" s="27" t="s">
        <v>23</v>
      </c>
      <c r="T112" s="28">
        <v>231540</v>
      </c>
      <c r="U112" s="74"/>
    </row>
    <row r="113" spans="1:21" ht="14" customHeight="1" x14ac:dyDescent="0.35">
      <c r="A113" s="68" t="s">
        <v>285</v>
      </c>
      <c r="B113" s="21" t="s">
        <v>170</v>
      </c>
      <c r="C113" s="21" t="s">
        <v>618</v>
      </c>
      <c r="D113" s="22">
        <v>10021405</v>
      </c>
      <c r="E113" s="21" t="s">
        <v>19</v>
      </c>
      <c r="F113" s="21" t="s">
        <v>46</v>
      </c>
      <c r="G113" s="21" t="s">
        <v>21</v>
      </c>
      <c r="H113" s="21" t="s">
        <v>36</v>
      </c>
      <c r="I113" s="21" t="s">
        <v>23</v>
      </c>
      <c r="J113" s="23">
        <v>4635</v>
      </c>
      <c r="K113" s="23">
        <v>20000</v>
      </c>
      <c r="L113" s="52">
        <f>IFERROR('RTK andmebaas'!$J113/'RTK andmebaas'!$K113,"")</f>
        <v>0.23175000000000001</v>
      </c>
      <c r="M113" s="21" t="s">
        <v>24</v>
      </c>
      <c r="N113" s="24">
        <v>45323</v>
      </c>
      <c r="O113" s="25">
        <f t="shared" si="1"/>
        <v>2024</v>
      </c>
      <c r="P113" s="21" t="s">
        <v>25</v>
      </c>
      <c r="Q113" s="21" t="s">
        <v>26</v>
      </c>
      <c r="R113" s="21" t="s">
        <v>27</v>
      </c>
      <c r="S113" s="21" t="s">
        <v>23</v>
      </c>
      <c r="T113" s="22">
        <v>231540</v>
      </c>
      <c r="U113" s="73"/>
    </row>
    <row r="114" spans="1:21" ht="14" customHeight="1" x14ac:dyDescent="0.35">
      <c r="A114" s="69" t="s">
        <v>286</v>
      </c>
      <c r="B114" s="27" t="s">
        <v>287</v>
      </c>
      <c r="C114" s="27" t="s">
        <v>286</v>
      </c>
      <c r="D114" s="28">
        <v>10339515</v>
      </c>
      <c r="E114" s="27" t="s">
        <v>19</v>
      </c>
      <c r="F114" s="27" t="s">
        <v>93</v>
      </c>
      <c r="G114" s="27" t="s">
        <v>21</v>
      </c>
      <c r="H114" s="27" t="s">
        <v>32</v>
      </c>
      <c r="I114" s="27" t="s">
        <v>23</v>
      </c>
      <c r="J114" s="29">
        <v>10904.7</v>
      </c>
      <c r="K114" s="29">
        <v>36349</v>
      </c>
      <c r="L114" s="53">
        <f>IFERROR('RTK andmebaas'!$J114/'RTK andmebaas'!$K114,"")</f>
        <v>0.30000000000000004</v>
      </c>
      <c r="M114" s="27" t="s">
        <v>24</v>
      </c>
      <c r="N114" s="19">
        <v>45303</v>
      </c>
      <c r="O114" s="20">
        <f t="shared" si="1"/>
        <v>2024</v>
      </c>
      <c r="P114" s="27" t="s">
        <v>25</v>
      </c>
      <c r="Q114" s="27" t="s">
        <v>26</v>
      </c>
      <c r="R114" s="27" t="s">
        <v>27</v>
      </c>
      <c r="S114" s="27" t="s">
        <v>23</v>
      </c>
      <c r="T114" s="28">
        <v>231540</v>
      </c>
      <c r="U114" s="74"/>
    </row>
    <row r="115" spans="1:21" ht="14" customHeight="1" x14ac:dyDescent="0.35">
      <c r="A115" s="68" t="s">
        <v>288</v>
      </c>
      <c r="B115" s="21" t="s">
        <v>289</v>
      </c>
      <c r="C115" s="21" t="s">
        <v>288</v>
      </c>
      <c r="D115" s="22">
        <v>10216540</v>
      </c>
      <c r="E115" s="21" t="s">
        <v>19</v>
      </c>
      <c r="F115" s="21" t="s">
        <v>20</v>
      </c>
      <c r="G115" s="21" t="s">
        <v>21</v>
      </c>
      <c r="H115" s="21" t="s">
        <v>158</v>
      </c>
      <c r="I115" s="21" t="s">
        <v>23</v>
      </c>
      <c r="J115" s="23">
        <v>37500</v>
      </c>
      <c r="K115" s="23">
        <v>75000</v>
      </c>
      <c r="L115" s="52">
        <f>IFERROR('RTK andmebaas'!$J115/'RTK andmebaas'!$K115,"")</f>
        <v>0.5</v>
      </c>
      <c r="M115" s="21" t="s">
        <v>24</v>
      </c>
      <c r="N115" s="24">
        <v>45295</v>
      </c>
      <c r="O115" s="25">
        <f t="shared" si="1"/>
        <v>2024</v>
      </c>
      <c r="P115" s="21" t="s">
        <v>25</v>
      </c>
      <c r="Q115" s="21" t="s">
        <v>26</v>
      </c>
      <c r="R115" s="21" t="s">
        <v>27</v>
      </c>
      <c r="S115" s="21" t="s">
        <v>23</v>
      </c>
      <c r="T115" s="22">
        <v>231540</v>
      </c>
      <c r="U115" s="73"/>
    </row>
    <row r="116" spans="1:21" ht="14" customHeight="1" x14ac:dyDescent="0.35">
      <c r="A116" s="69" t="s">
        <v>290</v>
      </c>
      <c r="B116" s="27" t="s">
        <v>222</v>
      </c>
      <c r="C116" s="27" t="s">
        <v>290</v>
      </c>
      <c r="D116" s="28">
        <v>11218423</v>
      </c>
      <c r="E116" s="27" t="s">
        <v>19</v>
      </c>
      <c r="F116" s="27" t="s">
        <v>46</v>
      </c>
      <c r="G116" s="27" t="s">
        <v>21</v>
      </c>
      <c r="H116" s="27" t="s">
        <v>32</v>
      </c>
      <c r="I116" s="27" t="s">
        <v>23</v>
      </c>
      <c r="J116" s="29">
        <v>18749.689999999999</v>
      </c>
      <c r="K116" s="29">
        <v>37499.370000000003</v>
      </c>
      <c r="L116" s="53">
        <f>IFERROR('RTK andmebaas'!$J116/'RTK andmebaas'!$K116,"")</f>
        <v>0.50000013333557325</v>
      </c>
      <c r="M116" s="27" t="s">
        <v>24</v>
      </c>
      <c r="N116" s="19">
        <v>45275</v>
      </c>
      <c r="O116" s="20">
        <f t="shared" si="1"/>
        <v>2023</v>
      </c>
      <c r="P116" s="27" t="s">
        <v>25</v>
      </c>
      <c r="Q116" s="27" t="s">
        <v>26</v>
      </c>
      <c r="R116" s="27" t="s">
        <v>27</v>
      </c>
      <c r="S116" s="27" t="s">
        <v>23</v>
      </c>
      <c r="T116" s="28">
        <v>231540</v>
      </c>
      <c r="U116" s="74"/>
    </row>
    <row r="117" spans="1:21" ht="14" customHeight="1" x14ac:dyDescent="0.35">
      <c r="A117" s="68" t="s">
        <v>291</v>
      </c>
      <c r="B117" s="21" t="s">
        <v>292</v>
      </c>
      <c r="C117" s="21" t="s">
        <v>291</v>
      </c>
      <c r="D117" s="22">
        <v>12864711</v>
      </c>
      <c r="E117" s="21" t="s">
        <v>19</v>
      </c>
      <c r="F117" s="21" t="s">
        <v>46</v>
      </c>
      <c r="G117" s="21" t="s">
        <v>21</v>
      </c>
      <c r="H117" s="21" t="s">
        <v>262</v>
      </c>
      <c r="I117" s="21" t="s">
        <v>23</v>
      </c>
      <c r="J117" s="23"/>
      <c r="K117" s="23" t="s">
        <v>23</v>
      </c>
      <c r="L117" s="52" t="str">
        <f>IFERROR('RTK andmebaas'!$J117/'RTK andmebaas'!$K117,"")</f>
        <v/>
      </c>
      <c r="M117" s="21" t="s">
        <v>24</v>
      </c>
      <c r="N117" s="24">
        <v>45267</v>
      </c>
      <c r="O117" s="25">
        <f t="shared" si="1"/>
        <v>2023</v>
      </c>
      <c r="P117" s="21" t="s">
        <v>25</v>
      </c>
      <c r="Q117" s="21" t="s">
        <v>26</v>
      </c>
      <c r="R117" s="21" t="s">
        <v>27</v>
      </c>
      <c r="S117" s="21" t="s">
        <v>23</v>
      </c>
      <c r="T117" s="22">
        <v>231540</v>
      </c>
      <c r="U117" s="73"/>
    </row>
    <row r="118" spans="1:21" ht="14" customHeight="1" x14ac:dyDescent="0.35">
      <c r="A118" s="69" t="s">
        <v>293</v>
      </c>
      <c r="B118" s="27" t="s">
        <v>294</v>
      </c>
      <c r="C118" s="27" t="s">
        <v>293</v>
      </c>
      <c r="D118" s="28">
        <v>12570665</v>
      </c>
      <c r="E118" s="27" t="s">
        <v>19</v>
      </c>
      <c r="F118" s="27" t="s">
        <v>35</v>
      </c>
      <c r="G118" s="27" t="s">
        <v>21</v>
      </c>
      <c r="H118" s="27" t="s">
        <v>158</v>
      </c>
      <c r="I118" s="27" t="s">
        <v>23</v>
      </c>
      <c r="J118" s="29">
        <v>74000</v>
      </c>
      <c r="K118" s="29">
        <v>185000</v>
      </c>
      <c r="L118" s="53">
        <f>IFERROR('RTK andmebaas'!$J118/'RTK andmebaas'!$K118,"")</f>
        <v>0.4</v>
      </c>
      <c r="M118" s="27" t="s">
        <v>24</v>
      </c>
      <c r="N118" s="19">
        <v>45265</v>
      </c>
      <c r="O118" s="20">
        <f t="shared" si="1"/>
        <v>2023</v>
      </c>
      <c r="P118" s="27" t="s">
        <v>25</v>
      </c>
      <c r="Q118" s="27" t="s">
        <v>26</v>
      </c>
      <c r="R118" s="27" t="s">
        <v>27</v>
      </c>
      <c r="S118" s="27" t="s">
        <v>23</v>
      </c>
      <c r="T118" s="28">
        <v>231540</v>
      </c>
      <c r="U118" s="74"/>
    </row>
    <row r="119" spans="1:21" ht="14" customHeight="1" x14ac:dyDescent="0.35">
      <c r="A119" s="68" t="s">
        <v>295</v>
      </c>
      <c r="B119" s="21" t="s">
        <v>123</v>
      </c>
      <c r="C119" s="21" t="s">
        <v>630</v>
      </c>
      <c r="D119" s="22">
        <v>14168513</v>
      </c>
      <c r="E119" s="21" t="s">
        <v>19</v>
      </c>
      <c r="F119" s="21" t="s">
        <v>93</v>
      </c>
      <c r="G119" s="21" t="s">
        <v>21</v>
      </c>
      <c r="H119" s="21" t="s">
        <v>94</v>
      </c>
      <c r="I119" s="21" t="s">
        <v>23</v>
      </c>
      <c r="J119" s="23">
        <v>7137</v>
      </c>
      <c r="K119" s="23">
        <v>25000</v>
      </c>
      <c r="L119" s="52">
        <f>IFERROR('RTK andmebaas'!$J119/'RTK andmebaas'!$K119,"")</f>
        <v>0.28548000000000001</v>
      </c>
      <c r="M119" s="21" t="s">
        <v>24</v>
      </c>
      <c r="N119" s="24">
        <v>45261</v>
      </c>
      <c r="O119" s="25">
        <f t="shared" si="1"/>
        <v>2023</v>
      </c>
      <c r="P119" s="21" t="s">
        <v>25</v>
      </c>
      <c r="Q119" s="21" t="s">
        <v>26</v>
      </c>
      <c r="R119" s="21" t="s">
        <v>27</v>
      </c>
      <c r="S119" s="21" t="s">
        <v>23</v>
      </c>
      <c r="T119" s="22">
        <v>231540</v>
      </c>
      <c r="U119" s="73"/>
    </row>
    <row r="120" spans="1:21" ht="14" customHeight="1" x14ac:dyDescent="0.35">
      <c r="A120" s="69" t="s">
        <v>296</v>
      </c>
      <c r="B120" s="27" t="s">
        <v>297</v>
      </c>
      <c r="C120" s="27" t="s">
        <v>296</v>
      </c>
      <c r="D120" s="28">
        <v>11377067</v>
      </c>
      <c r="E120" s="27" t="s">
        <v>19</v>
      </c>
      <c r="F120" s="27" t="s">
        <v>20</v>
      </c>
      <c r="G120" s="27" t="s">
        <v>21</v>
      </c>
      <c r="H120" s="27" t="s">
        <v>22</v>
      </c>
      <c r="I120" s="27" t="s">
        <v>23</v>
      </c>
      <c r="J120" s="29">
        <v>31957.9</v>
      </c>
      <c r="K120" s="29">
        <v>63915.8</v>
      </c>
      <c r="L120" s="53">
        <f>IFERROR('RTK andmebaas'!$J120/'RTK andmebaas'!$K120,"")</f>
        <v>0.5</v>
      </c>
      <c r="M120" s="27" t="s">
        <v>24</v>
      </c>
      <c r="N120" s="19">
        <v>45255</v>
      </c>
      <c r="O120" s="20">
        <f t="shared" si="1"/>
        <v>2023</v>
      </c>
      <c r="P120" s="27" t="s">
        <v>25</v>
      </c>
      <c r="Q120" s="27" t="s">
        <v>26</v>
      </c>
      <c r="R120" s="27" t="s">
        <v>27</v>
      </c>
      <c r="S120" s="27" t="s">
        <v>23</v>
      </c>
      <c r="T120" s="28">
        <v>231540</v>
      </c>
      <c r="U120" s="74"/>
    </row>
    <row r="121" spans="1:21" ht="14" customHeight="1" x14ac:dyDescent="0.35">
      <c r="A121" s="68" t="s">
        <v>298</v>
      </c>
      <c r="B121" s="21" t="s">
        <v>299</v>
      </c>
      <c r="C121" s="21" t="s">
        <v>298</v>
      </c>
      <c r="D121" s="22">
        <v>12670125</v>
      </c>
      <c r="E121" s="21" t="s">
        <v>19</v>
      </c>
      <c r="F121" s="21" t="s">
        <v>20</v>
      </c>
      <c r="G121" s="21" t="s">
        <v>21</v>
      </c>
      <c r="H121" s="21" t="s">
        <v>300</v>
      </c>
      <c r="I121" s="21" t="s">
        <v>23</v>
      </c>
      <c r="J121" s="23">
        <v>63500</v>
      </c>
      <c r="K121" s="23">
        <v>127000</v>
      </c>
      <c r="L121" s="52">
        <f>IFERROR('RTK andmebaas'!$J121/'RTK andmebaas'!$K121,"")</f>
        <v>0.5</v>
      </c>
      <c r="M121" s="21" t="s">
        <v>24</v>
      </c>
      <c r="N121" s="24">
        <v>45251</v>
      </c>
      <c r="O121" s="25">
        <f t="shared" si="1"/>
        <v>2023</v>
      </c>
      <c r="P121" s="21" t="s">
        <v>25</v>
      </c>
      <c r="Q121" s="21" t="s">
        <v>26</v>
      </c>
      <c r="R121" s="21" t="s">
        <v>27</v>
      </c>
      <c r="S121" s="21" t="s">
        <v>23</v>
      </c>
      <c r="T121" s="22">
        <v>231540</v>
      </c>
      <c r="U121" s="73"/>
    </row>
    <row r="122" spans="1:21" ht="14" customHeight="1" x14ac:dyDescent="0.35">
      <c r="A122" s="69" t="s">
        <v>301</v>
      </c>
      <c r="B122" s="27" t="s">
        <v>302</v>
      </c>
      <c r="C122" s="27" t="s">
        <v>625</v>
      </c>
      <c r="D122" s="28">
        <v>10897652</v>
      </c>
      <c r="E122" s="27" t="s">
        <v>19</v>
      </c>
      <c r="F122" s="27" t="s">
        <v>20</v>
      </c>
      <c r="G122" s="27" t="s">
        <v>21</v>
      </c>
      <c r="H122" s="27" t="s">
        <v>303</v>
      </c>
      <c r="I122" s="27" t="s">
        <v>23</v>
      </c>
      <c r="J122" s="29">
        <v>32550</v>
      </c>
      <c r="K122" s="29">
        <v>78700</v>
      </c>
      <c r="L122" s="53">
        <f>IFERROR('RTK andmebaas'!$J122/'RTK andmebaas'!$K122,"")</f>
        <v>0.41359593392630239</v>
      </c>
      <c r="M122" s="27" t="s">
        <v>24</v>
      </c>
      <c r="N122" s="19">
        <v>45247</v>
      </c>
      <c r="O122" s="20">
        <f t="shared" si="1"/>
        <v>2023</v>
      </c>
      <c r="P122" s="27" t="s">
        <v>25</v>
      </c>
      <c r="Q122" s="27" t="s">
        <v>26</v>
      </c>
      <c r="R122" s="27" t="s">
        <v>27</v>
      </c>
      <c r="S122" s="27" t="s">
        <v>23</v>
      </c>
      <c r="T122" s="28">
        <v>231540</v>
      </c>
      <c r="U122" s="74"/>
    </row>
    <row r="123" spans="1:21" ht="14" customHeight="1" x14ac:dyDescent="0.35">
      <c r="A123" s="68" t="s">
        <v>304</v>
      </c>
      <c r="B123" s="21" t="s">
        <v>49</v>
      </c>
      <c r="C123" s="21" t="s">
        <v>304</v>
      </c>
      <c r="D123" s="22">
        <v>10078210</v>
      </c>
      <c r="E123" s="21" t="s">
        <v>19</v>
      </c>
      <c r="F123" s="21" t="s">
        <v>35</v>
      </c>
      <c r="G123" s="21" t="s">
        <v>21</v>
      </c>
      <c r="H123" s="21" t="s">
        <v>32</v>
      </c>
      <c r="I123" s="21" t="s">
        <v>23</v>
      </c>
      <c r="J123" s="23">
        <v>55548</v>
      </c>
      <c r="K123" s="23">
        <v>185160</v>
      </c>
      <c r="L123" s="52">
        <f>IFERROR('RTK andmebaas'!$J123/'RTK andmebaas'!$K123,"")</f>
        <v>0.3</v>
      </c>
      <c r="M123" s="21" t="s">
        <v>24</v>
      </c>
      <c r="N123" s="24">
        <v>45246</v>
      </c>
      <c r="O123" s="25">
        <f t="shared" si="1"/>
        <v>2023</v>
      </c>
      <c r="P123" s="21" t="s">
        <v>25</v>
      </c>
      <c r="Q123" s="21" t="s">
        <v>26</v>
      </c>
      <c r="R123" s="21" t="s">
        <v>27</v>
      </c>
      <c r="S123" s="21" t="s">
        <v>23</v>
      </c>
      <c r="T123" s="22">
        <v>231540</v>
      </c>
      <c r="U123" s="73"/>
    </row>
    <row r="124" spans="1:21" ht="14" customHeight="1" x14ac:dyDescent="0.35">
      <c r="A124" s="69" t="s">
        <v>305</v>
      </c>
      <c r="B124" s="27" t="s">
        <v>148</v>
      </c>
      <c r="C124" s="27" t="s">
        <v>305</v>
      </c>
      <c r="D124" s="28">
        <v>10440415</v>
      </c>
      <c r="E124" s="27" t="s">
        <v>19</v>
      </c>
      <c r="F124" s="27" t="s">
        <v>35</v>
      </c>
      <c r="G124" s="27" t="s">
        <v>21</v>
      </c>
      <c r="H124" s="27" t="s">
        <v>32</v>
      </c>
      <c r="I124" s="27" t="s">
        <v>23</v>
      </c>
      <c r="J124" s="29">
        <v>32796.82</v>
      </c>
      <c r="K124" s="29">
        <v>81992.05</v>
      </c>
      <c r="L124" s="53">
        <f>IFERROR('RTK andmebaas'!$J124/'RTK andmebaas'!$K124,"")</f>
        <v>0.39999999999999997</v>
      </c>
      <c r="M124" s="27" t="s">
        <v>24</v>
      </c>
      <c r="N124" s="19">
        <v>45244</v>
      </c>
      <c r="O124" s="20">
        <f t="shared" si="1"/>
        <v>2023</v>
      </c>
      <c r="P124" s="27" t="s">
        <v>25</v>
      </c>
      <c r="Q124" s="27" t="s">
        <v>26</v>
      </c>
      <c r="R124" s="27" t="s">
        <v>27</v>
      </c>
      <c r="S124" s="27" t="s">
        <v>23</v>
      </c>
      <c r="T124" s="28">
        <v>231540</v>
      </c>
      <c r="U124" s="74"/>
    </row>
    <row r="125" spans="1:21" ht="14" customHeight="1" x14ac:dyDescent="0.35">
      <c r="A125" s="68" t="s">
        <v>306</v>
      </c>
      <c r="B125" s="21" t="s">
        <v>49</v>
      </c>
      <c r="C125" s="21" t="s">
        <v>306</v>
      </c>
      <c r="D125" s="22">
        <v>10078210</v>
      </c>
      <c r="E125" s="21" t="s">
        <v>19</v>
      </c>
      <c r="F125" s="21" t="s">
        <v>35</v>
      </c>
      <c r="G125" s="21" t="s">
        <v>21</v>
      </c>
      <c r="H125" s="21" t="s">
        <v>32</v>
      </c>
      <c r="I125" s="21" t="s">
        <v>23</v>
      </c>
      <c r="J125" s="23">
        <v>23322</v>
      </c>
      <c r="K125" s="23">
        <v>77740</v>
      </c>
      <c r="L125" s="52">
        <f>IFERROR('RTK andmebaas'!$J125/'RTK andmebaas'!$K125,"")</f>
        <v>0.3</v>
      </c>
      <c r="M125" s="21" t="s">
        <v>24</v>
      </c>
      <c r="N125" s="24">
        <v>45244</v>
      </c>
      <c r="O125" s="25">
        <f t="shared" si="1"/>
        <v>2023</v>
      </c>
      <c r="P125" s="21" t="s">
        <v>25</v>
      </c>
      <c r="Q125" s="21" t="s">
        <v>26</v>
      </c>
      <c r="R125" s="21" t="s">
        <v>27</v>
      </c>
      <c r="S125" s="21" t="s">
        <v>23</v>
      </c>
      <c r="T125" s="22">
        <v>231540</v>
      </c>
      <c r="U125" s="73"/>
    </row>
    <row r="126" spans="1:21" ht="14" customHeight="1" x14ac:dyDescent="0.35">
      <c r="A126" s="69" t="s">
        <v>307</v>
      </c>
      <c r="B126" s="27" t="s">
        <v>270</v>
      </c>
      <c r="C126" s="27" t="s">
        <v>621</v>
      </c>
      <c r="D126" s="28">
        <v>10269772</v>
      </c>
      <c r="E126" s="27" t="s">
        <v>19</v>
      </c>
      <c r="F126" s="27" t="s">
        <v>20</v>
      </c>
      <c r="G126" s="27" t="s">
        <v>21</v>
      </c>
      <c r="H126" s="27" t="s">
        <v>47</v>
      </c>
      <c r="I126" s="27" t="s">
        <v>23</v>
      </c>
      <c r="J126" s="29">
        <v>57749.34</v>
      </c>
      <c r="K126" s="29">
        <v>151500</v>
      </c>
      <c r="L126" s="53">
        <f>IFERROR('RTK andmebaas'!$J126/'RTK andmebaas'!$K126,"")</f>
        <v>0.38118376237623758</v>
      </c>
      <c r="M126" s="27" t="s">
        <v>24</v>
      </c>
      <c r="N126" s="19">
        <v>45233</v>
      </c>
      <c r="O126" s="20">
        <f t="shared" si="1"/>
        <v>2023</v>
      </c>
      <c r="P126" s="27" t="s">
        <v>25</v>
      </c>
      <c r="Q126" s="27" t="s">
        <v>26</v>
      </c>
      <c r="R126" s="27" t="s">
        <v>27</v>
      </c>
      <c r="S126" s="27" t="s">
        <v>23</v>
      </c>
      <c r="T126" s="28">
        <v>231540</v>
      </c>
      <c r="U126" s="74"/>
    </row>
    <row r="127" spans="1:21" ht="14" customHeight="1" x14ac:dyDescent="0.35">
      <c r="A127" s="68" t="s">
        <v>308</v>
      </c>
      <c r="B127" s="21" t="s">
        <v>222</v>
      </c>
      <c r="C127" s="21" t="s">
        <v>308</v>
      </c>
      <c r="D127" s="22">
        <v>11218423</v>
      </c>
      <c r="E127" s="21" t="s">
        <v>19</v>
      </c>
      <c r="F127" s="21" t="s">
        <v>46</v>
      </c>
      <c r="G127" s="21" t="s">
        <v>21</v>
      </c>
      <c r="H127" s="21" t="s">
        <v>32</v>
      </c>
      <c r="I127" s="21" t="s">
        <v>23</v>
      </c>
      <c r="J127" s="23">
        <v>13794.39</v>
      </c>
      <c r="K127" s="23">
        <v>27588.78</v>
      </c>
      <c r="L127" s="52">
        <f>IFERROR('RTK andmebaas'!$J127/'RTK andmebaas'!$K127,"")</f>
        <v>0.5</v>
      </c>
      <c r="M127" s="21" t="s">
        <v>24</v>
      </c>
      <c r="N127" s="24">
        <v>45222</v>
      </c>
      <c r="O127" s="25">
        <f t="shared" si="1"/>
        <v>2023</v>
      </c>
      <c r="P127" s="21" t="s">
        <v>25</v>
      </c>
      <c r="Q127" s="21" t="s">
        <v>26</v>
      </c>
      <c r="R127" s="21" t="s">
        <v>27</v>
      </c>
      <c r="S127" s="21" t="s">
        <v>23</v>
      </c>
      <c r="T127" s="22">
        <v>231540</v>
      </c>
      <c r="U127" s="73"/>
    </row>
    <row r="128" spans="1:21" ht="14" customHeight="1" x14ac:dyDescent="0.35">
      <c r="A128" s="69" t="s">
        <v>309</v>
      </c>
      <c r="B128" s="27" t="s">
        <v>184</v>
      </c>
      <c r="C128" s="27" t="s">
        <v>309</v>
      </c>
      <c r="D128" s="28">
        <v>10086633</v>
      </c>
      <c r="E128" s="27" t="s">
        <v>19</v>
      </c>
      <c r="F128" s="27" t="s">
        <v>20</v>
      </c>
      <c r="G128" s="27" t="s">
        <v>21</v>
      </c>
      <c r="H128" s="27" t="s">
        <v>32</v>
      </c>
      <c r="I128" s="27" t="s">
        <v>23</v>
      </c>
      <c r="J128" s="29">
        <v>18959</v>
      </c>
      <c r="K128" s="29">
        <v>37918</v>
      </c>
      <c r="L128" s="53">
        <f>IFERROR('RTK andmebaas'!$J128/'RTK andmebaas'!$K128,"")</f>
        <v>0.5</v>
      </c>
      <c r="M128" s="27" t="s">
        <v>24</v>
      </c>
      <c r="N128" s="19">
        <v>45219</v>
      </c>
      <c r="O128" s="20">
        <f t="shared" si="1"/>
        <v>2023</v>
      </c>
      <c r="P128" s="27" t="s">
        <v>25</v>
      </c>
      <c r="Q128" s="27" t="s">
        <v>26</v>
      </c>
      <c r="R128" s="27" t="s">
        <v>27</v>
      </c>
      <c r="S128" s="27" t="s">
        <v>23</v>
      </c>
      <c r="T128" s="28">
        <v>231540</v>
      </c>
      <c r="U128" s="74"/>
    </row>
    <row r="129" spans="1:21" ht="14" customHeight="1" x14ac:dyDescent="0.35">
      <c r="A129" s="68" t="s">
        <v>310</v>
      </c>
      <c r="B129" s="21" t="s">
        <v>311</v>
      </c>
      <c r="C129" s="21" t="s">
        <v>619</v>
      </c>
      <c r="D129" s="22">
        <v>10033236</v>
      </c>
      <c r="E129" s="21" t="s">
        <v>19</v>
      </c>
      <c r="F129" s="21" t="s">
        <v>35</v>
      </c>
      <c r="G129" s="21" t="s">
        <v>21</v>
      </c>
      <c r="H129" s="21" t="s">
        <v>303</v>
      </c>
      <c r="I129" s="21" t="s">
        <v>23</v>
      </c>
      <c r="J129" s="23">
        <v>61943.48</v>
      </c>
      <c r="K129" s="23">
        <v>187000</v>
      </c>
      <c r="L129" s="52">
        <f>IFERROR('RTK andmebaas'!$J129/'RTK andmebaas'!$K129,"")</f>
        <v>0.33124855614973264</v>
      </c>
      <c r="M129" s="21" t="s">
        <v>24</v>
      </c>
      <c r="N129" s="24">
        <v>45209</v>
      </c>
      <c r="O129" s="25">
        <f t="shared" si="1"/>
        <v>2023</v>
      </c>
      <c r="P129" s="21" t="s">
        <v>25</v>
      </c>
      <c r="Q129" s="21" t="s">
        <v>26</v>
      </c>
      <c r="R129" s="21" t="s">
        <v>27</v>
      </c>
      <c r="S129" s="21" t="s">
        <v>23</v>
      </c>
      <c r="T129" s="22">
        <v>231540</v>
      </c>
      <c r="U129" s="73"/>
    </row>
    <row r="130" spans="1:21" ht="14" customHeight="1" x14ac:dyDescent="0.35">
      <c r="A130" s="69" t="s">
        <v>312</v>
      </c>
      <c r="B130" s="27" t="s">
        <v>313</v>
      </c>
      <c r="C130" s="27" t="s">
        <v>312</v>
      </c>
      <c r="D130" s="28">
        <v>10959488</v>
      </c>
      <c r="E130" s="27" t="s">
        <v>19</v>
      </c>
      <c r="F130" s="27" t="s">
        <v>20</v>
      </c>
      <c r="G130" s="27" t="s">
        <v>21</v>
      </c>
      <c r="H130" s="27" t="s">
        <v>118</v>
      </c>
      <c r="I130" s="27" t="s">
        <v>23</v>
      </c>
      <c r="J130" s="29">
        <v>20662.400000000001</v>
      </c>
      <c r="K130" s="29">
        <v>51656</v>
      </c>
      <c r="L130" s="53">
        <f>IFERROR('RTK andmebaas'!$J130/'RTK andmebaas'!$K130,"")</f>
        <v>0.4</v>
      </c>
      <c r="M130" s="27" t="s">
        <v>24</v>
      </c>
      <c r="N130" s="19">
        <v>45176</v>
      </c>
      <c r="O130" s="20">
        <f t="shared" si="1"/>
        <v>2023</v>
      </c>
      <c r="P130" s="27" t="s">
        <v>25</v>
      </c>
      <c r="Q130" s="27" t="s">
        <v>26</v>
      </c>
      <c r="R130" s="27" t="s">
        <v>27</v>
      </c>
      <c r="S130" s="27" t="s">
        <v>23</v>
      </c>
      <c r="T130" s="28">
        <v>231540</v>
      </c>
      <c r="U130" s="74"/>
    </row>
    <row r="131" spans="1:21" ht="14" customHeight="1" x14ac:dyDescent="0.35">
      <c r="A131" s="68" t="s">
        <v>314</v>
      </c>
      <c r="B131" s="21" t="s">
        <v>315</v>
      </c>
      <c r="C131" s="21" t="s">
        <v>629</v>
      </c>
      <c r="D131" s="22">
        <v>11139468</v>
      </c>
      <c r="E131" s="21" t="s">
        <v>19</v>
      </c>
      <c r="F131" s="21" t="s">
        <v>93</v>
      </c>
      <c r="G131" s="21" t="s">
        <v>21</v>
      </c>
      <c r="H131" s="21" t="s">
        <v>47</v>
      </c>
      <c r="I131" s="21" t="s">
        <v>23</v>
      </c>
      <c r="J131" s="23">
        <v>67996.5</v>
      </c>
      <c r="K131" s="23">
        <v>240000</v>
      </c>
      <c r="L131" s="52">
        <f>IFERROR('RTK andmebaas'!$J131/'RTK andmebaas'!$K131,"")</f>
        <v>0.28331875000000001</v>
      </c>
      <c r="M131" s="21" t="s">
        <v>24</v>
      </c>
      <c r="N131" s="24">
        <v>45176</v>
      </c>
      <c r="O131" s="25">
        <f t="shared" si="1"/>
        <v>2023</v>
      </c>
      <c r="P131" s="21" t="s">
        <v>25</v>
      </c>
      <c r="Q131" s="21" t="s">
        <v>26</v>
      </c>
      <c r="R131" s="21" t="s">
        <v>27</v>
      </c>
      <c r="S131" s="21" t="s">
        <v>23</v>
      </c>
      <c r="T131" s="22">
        <v>231540</v>
      </c>
      <c r="U131" s="73"/>
    </row>
    <row r="132" spans="1:21" ht="14" customHeight="1" x14ac:dyDescent="0.35">
      <c r="A132" s="69" t="s">
        <v>316</v>
      </c>
      <c r="B132" s="27" t="s">
        <v>191</v>
      </c>
      <c r="C132" s="27" t="s">
        <v>627</v>
      </c>
      <c r="D132" s="28">
        <v>10934040</v>
      </c>
      <c r="E132" s="27" t="s">
        <v>19</v>
      </c>
      <c r="F132" s="27" t="s">
        <v>20</v>
      </c>
      <c r="G132" s="27" t="s">
        <v>21</v>
      </c>
      <c r="H132" s="27" t="s">
        <v>101</v>
      </c>
      <c r="I132" s="27" t="s">
        <v>23</v>
      </c>
      <c r="J132" s="29">
        <v>34790</v>
      </c>
      <c r="K132" s="29">
        <v>70000</v>
      </c>
      <c r="L132" s="53">
        <f>IFERROR('RTK andmebaas'!$J132/'RTK andmebaas'!$K132,"")</f>
        <v>0.497</v>
      </c>
      <c r="M132" s="27" t="s">
        <v>24</v>
      </c>
      <c r="N132" s="19">
        <v>45176</v>
      </c>
      <c r="O132" s="20">
        <f t="shared" ref="O132:O183" si="2">YEAR(N132)</f>
        <v>2023</v>
      </c>
      <c r="P132" s="27" t="s">
        <v>25</v>
      </c>
      <c r="Q132" s="27" t="s">
        <v>26</v>
      </c>
      <c r="R132" s="27" t="s">
        <v>27</v>
      </c>
      <c r="S132" s="27" t="s">
        <v>23</v>
      </c>
      <c r="T132" s="28">
        <v>231540</v>
      </c>
      <c r="U132" s="74"/>
    </row>
    <row r="133" spans="1:21" ht="14" customHeight="1" x14ac:dyDescent="0.35">
      <c r="A133" s="68" t="s">
        <v>317</v>
      </c>
      <c r="B133" s="21" t="s">
        <v>49</v>
      </c>
      <c r="C133" s="21" t="s">
        <v>317</v>
      </c>
      <c r="D133" s="22">
        <v>10078210</v>
      </c>
      <c r="E133" s="21" t="s">
        <v>19</v>
      </c>
      <c r="F133" s="21" t="s">
        <v>35</v>
      </c>
      <c r="G133" s="21" t="s">
        <v>21</v>
      </c>
      <c r="H133" s="21" t="s">
        <v>32</v>
      </c>
      <c r="I133" s="21" t="s">
        <v>23</v>
      </c>
      <c r="J133" s="23">
        <v>20114.400000000001</v>
      </c>
      <c r="K133" s="23">
        <v>67048</v>
      </c>
      <c r="L133" s="52">
        <f>IFERROR('RTK andmebaas'!$J133/'RTK andmebaas'!$K133,"")</f>
        <v>0.30000000000000004</v>
      </c>
      <c r="M133" s="21" t="s">
        <v>24</v>
      </c>
      <c r="N133" s="24">
        <v>45796</v>
      </c>
      <c r="O133" s="25">
        <f t="shared" si="2"/>
        <v>2025</v>
      </c>
      <c r="P133" s="21" t="s">
        <v>318</v>
      </c>
      <c r="Q133" s="21" t="s">
        <v>26</v>
      </c>
      <c r="R133" s="21" t="s">
        <v>27</v>
      </c>
      <c r="S133" s="21" t="s">
        <v>319</v>
      </c>
      <c r="T133" s="22">
        <v>251802</v>
      </c>
      <c r="U133" s="73"/>
    </row>
    <row r="134" spans="1:21" ht="14" customHeight="1" x14ac:dyDescent="0.35">
      <c r="A134" s="69" t="s">
        <v>320</v>
      </c>
      <c r="B134" s="27" t="s">
        <v>321</v>
      </c>
      <c r="C134" s="27" t="s">
        <v>320</v>
      </c>
      <c r="D134" s="28">
        <v>10047497</v>
      </c>
      <c r="E134" s="27" t="s">
        <v>19</v>
      </c>
      <c r="F134" s="27" t="s">
        <v>93</v>
      </c>
      <c r="G134" s="27" t="s">
        <v>21</v>
      </c>
      <c r="H134" s="27" t="s">
        <v>32</v>
      </c>
      <c r="I134" s="27" t="s">
        <v>23</v>
      </c>
      <c r="J134" s="29">
        <v>80458.2</v>
      </c>
      <c r="K134" s="29">
        <v>268194</v>
      </c>
      <c r="L134" s="53">
        <f>IFERROR('RTK andmebaas'!$J134/'RTK andmebaas'!$K134,"")</f>
        <v>0.3</v>
      </c>
      <c r="M134" s="27" t="s">
        <v>24</v>
      </c>
      <c r="N134" s="19">
        <v>45793</v>
      </c>
      <c r="O134" s="20">
        <f t="shared" si="2"/>
        <v>2025</v>
      </c>
      <c r="P134" s="27" t="s">
        <v>318</v>
      </c>
      <c r="Q134" s="27" t="s">
        <v>26</v>
      </c>
      <c r="R134" s="27" t="s">
        <v>27</v>
      </c>
      <c r="S134" s="27" t="s">
        <v>319</v>
      </c>
      <c r="T134" s="28">
        <v>251802</v>
      </c>
      <c r="U134" s="74"/>
    </row>
    <row r="135" spans="1:21" ht="14" customHeight="1" x14ac:dyDescent="0.35">
      <c r="A135" s="68" t="s">
        <v>322</v>
      </c>
      <c r="B135" s="21" t="s">
        <v>323</v>
      </c>
      <c r="C135" s="21" t="s">
        <v>322</v>
      </c>
      <c r="D135" s="22">
        <v>10131803</v>
      </c>
      <c r="E135" s="21" t="s">
        <v>19</v>
      </c>
      <c r="F135" s="21" t="s">
        <v>35</v>
      </c>
      <c r="G135" s="21" t="s">
        <v>21</v>
      </c>
      <c r="H135" s="21" t="s">
        <v>79</v>
      </c>
      <c r="I135" s="21" t="s">
        <v>23</v>
      </c>
      <c r="J135" s="23">
        <v>248685.3</v>
      </c>
      <c r="K135" s="23">
        <v>581943</v>
      </c>
      <c r="L135" s="52">
        <f>IFERROR('RTK andmebaas'!$J135/'RTK andmebaas'!$K135,"")</f>
        <v>0.4273361824096174</v>
      </c>
      <c r="M135" s="21" t="s">
        <v>24</v>
      </c>
      <c r="N135" s="24">
        <v>45793</v>
      </c>
      <c r="O135" s="25">
        <f t="shared" si="2"/>
        <v>2025</v>
      </c>
      <c r="P135" s="21" t="s">
        <v>318</v>
      </c>
      <c r="Q135" s="21" t="s">
        <v>26</v>
      </c>
      <c r="R135" s="21" t="s">
        <v>27</v>
      </c>
      <c r="S135" s="21" t="s">
        <v>319</v>
      </c>
      <c r="T135" s="22">
        <v>251802</v>
      </c>
      <c r="U135" s="73"/>
    </row>
    <row r="136" spans="1:21" ht="14" customHeight="1" x14ac:dyDescent="0.35">
      <c r="A136" s="69" t="s">
        <v>324</v>
      </c>
      <c r="B136" s="27" t="s">
        <v>325</v>
      </c>
      <c r="C136" s="27" t="s">
        <v>324</v>
      </c>
      <c r="D136" s="28">
        <v>12318492</v>
      </c>
      <c r="E136" s="27" t="s">
        <v>19</v>
      </c>
      <c r="F136" s="27" t="s">
        <v>93</v>
      </c>
      <c r="G136" s="27" t="s">
        <v>21</v>
      </c>
      <c r="H136" s="27" t="s">
        <v>32</v>
      </c>
      <c r="I136" s="27" t="s">
        <v>23</v>
      </c>
      <c r="J136" s="29">
        <v>103500</v>
      </c>
      <c r="K136" s="29">
        <v>230000</v>
      </c>
      <c r="L136" s="53">
        <f>IFERROR('RTK andmebaas'!$J136/'RTK andmebaas'!$K136,"")</f>
        <v>0.45</v>
      </c>
      <c r="M136" s="27" t="s">
        <v>24</v>
      </c>
      <c r="N136" s="19">
        <v>45751</v>
      </c>
      <c r="O136" s="20">
        <f t="shared" si="2"/>
        <v>2025</v>
      </c>
      <c r="P136" s="27" t="s">
        <v>318</v>
      </c>
      <c r="Q136" s="27" t="s">
        <v>26</v>
      </c>
      <c r="R136" s="27" t="s">
        <v>27</v>
      </c>
      <c r="S136" s="27" t="s">
        <v>319</v>
      </c>
      <c r="T136" s="28">
        <v>251802</v>
      </c>
      <c r="U136" s="74"/>
    </row>
    <row r="137" spans="1:21" ht="14" customHeight="1" x14ac:dyDescent="0.35">
      <c r="A137" s="68" t="s">
        <v>326</v>
      </c>
      <c r="B137" s="21" t="s">
        <v>150</v>
      </c>
      <c r="C137" s="21" t="s">
        <v>620</v>
      </c>
      <c r="D137" s="22">
        <v>10131766</v>
      </c>
      <c r="E137" s="21" t="s">
        <v>19</v>
      </c>
      <c r="F137" s="21" t="s">
        <v>93</v>
      </c>
      <c r="G137" s="21" t="s">
        <v>21</v>
      </c>
      <c r="H137" s="21" t="s">
        <v>97</v>
      </c>
      <c r="I137" s="21" t="s">
        <v>23</v>
      </c>
      <c r="J137" s="23">
        <v>41417.1</v>
      </c>
      <c r="K137" s="23">
        <v>679215.94</v>
      </c>
      <c r="L137" s="52">
        <f>IFERROR('RTK andmebaas'!$J137/'RTK andmebaas'!$K137,"")</f>
        <v>6.0977809207481207E-2</v>
      </c>
      <c r="M137" s="21" t="s">
        <v>24</v>
      </c>
      <c r="N137" s="24">
        <v>45736</v>
      </c>
      <c r="O137" s="25">
        <f t="shared" si="2"/>
        <v>2025</v>
      </c>
      <c r="P137" s="21" t="s">
        <v>318</v>
      </c>
      <c r="Q137" s="21" t="s">
        <v>26</v>
      </c>
      <c r="R137" s="21" t="s">
        <v>27</v>
      </c>
      <c r="S137" s="21" t="s">
        <v>319</v>
      </c>
      <c r="T137" s="22">
        <v>251802</v>
      </c>
      <c r="U137" s="73"/>
    </row>
    <row r="138" spans="1:21" ht="14" customHeight="1" x14ac:dyDescent="0.35">
      <c r="A138" s="70" t="s">
        <v>557</v>
      </c>
      <c r="B138" s="30" t="s">
        <v>558</v>
      </c>
      <c r="C138" s="30" t="s">
        <v>557</v>
      </c>
      <c r="D138" s="30">
        <v>10900160</v>
      </c>
      <c r="E138" s="30" t="s">
        <v>19</v>
      </c>
      <c r="F138" s="30" t="s">
        <v>35</v>
      </c>
      <c r="G138" s="30" t="s">
        <v>21</v>
      </c>
      <c r="H138" s="30" t="s">
        <v>550</v>
      </c>
      <c r="I138" s="30" t="s">
        <v>23</v>
      </c>
      <c r="J138" s="33">
        <v>93089.2</v>
      </c>
      <c r="K138" s="33">
        <v>232723</v>
      </c>
      <c r="L138" s="54">
        <f>IFERROR('RTK andmebaas'!$J138/'RTK andmebaas'!$K138,"")</f>
        <v>0.39999999999999997</v>
      </c>
      <c r="M138" s="30" t="s">
        <v>24</v>
      </c>
      <c r="N138" s="19">
        <v>45472</v>
      </c>
      <c r="O138" s="20">
        <f t="shared" si="2"/>
        <v>2024</v>
      </c>
      <c r="P138" s="30" t="s">
        <v>559</v>
      </c>
      <c r="Q138" s="30" t="s">
        <v>26</v>
      </c>
      <c r="R138" s="30" t="s">
        <v>27</v>
      </c>
      <c r="S138" s="30" t="s">
        <v>560</v>
      </c>
      <c r="T138" s="30">
        <v>231599</v>
      </c>
      <c r="U138" s="74"/>
    </row>
    <row r="139" spans="1:21" ht="14" customHeight="1" x14ac:dyDescent="0.35">
      <c r="A139" s="71" t="s">
        <v>561</v>
      </c>
      <c r="B139" s="26" t="s">
        <v>420</v>
      </c>
      <c r="C139" s="26" t="s">
        <v>561</v>
      </c>
      <c r="D139" s="26">
        <v>11632588</v>
      </c>
      <c r="E139" s="26" t="s">
        <v>19</v>
      </c>
      <c r="F139" s="26" t="s">
        <v>20</v>
      </c>
      <c r="G139" s="26" t="s">
        <v>21</v>
      </c>
      <c r="H139" s="26" t="s">
        <v>60</v>
      </c>
      <c r="I139" s="26" t="s">
        <v>23</v>
      </c>
      <c r="J139" s="34">
        <v>217150.5</v>
      </c>
      <c r="K139" s="26">
        <v>434301</v>
      </c>
      <c r="L139" s="55">
        <f>IFERROR('RTK andmebaas'!$J139/'RTK andmebaas'!$K139,"")</f>
        <v>0.5</v>
      </c>
      <c r="M139" s="26" t="s">
        <v>24</v>
      </c>
      <c r="N139" s="24">
        <v>45471</v>
      </c>
      <c r="O139" s="25">
        <f t="shared" si="2"/>
        <v>2024</v>
      </c>
      <c r="P139" s="26" t="s">
        <v>559</v>
      </c>
      <c r="Q139" s="26" t="s">
        <v>26</v>
      </c>
      <c r="R139" s="26" t="s">
        <v>27</v>
      </c>
      <c r="S139" s="26" t="s">
        <v>560</v>
      </c>
      <c r="T139" s="26">
        <v>231599</v>
      </c>
      <c r="U139" s="73"/>
    </row>
    <row r="140" spans="1:21" ht="14" customHeight="1" x14ac:dyDescent="0.35">
      <c r="A140" s="70" t="s">
        <v>562</v>
      </c>
      <c r="B140" s="30" t="s">
        <v>537</v>
      </c>
      <c r="C140" s="30" t="s">
        <v>562</v>
      </c>
      <c r="D140" s="30">
        <v>11540030</v>
      </c>
      <c r="E140" s="30" t="s">
        <v>19</v>
      </c>
      <c r="F140" s="30" t="s">
        <v>35</v>
      </c>
      <c r="G140" s="30" t="s">
        <v>21</v>
      </c>
      <c r="H140" s="30" t="s">
        <v>551</v>
      </c>
      <c r="I140" s="30" t="s">
        <v>23</v>
      </c>
      <c r="J140" s="33">
        <v>12396</v>
      </c>
      <c r="K140" s="33">
        <v>30990</v>
      </c>
      <c r="L140" s="54">
        <f>IFERROR('RTK andmebaas'!$J140/'RTK andmebaas'!$K140,"")</f>
        <v>0.4</v>
      </c>
      <c r="M140" s="30" t="s">
        <v>24</v>
      </c>
      <c r="N140" s="19">
        <v>45471</v>
      </c>
      <c r="O140" s="20">
        <f t="shared" si="2"/>
        <v>2024</v>
      </c>
      <c r="P140" s="30" t="s">
        <v>559</v>
      </c>
      <c r="Q140" s="30" t="s">
        <v>26</v>
      </c>
      <c r="R140" s="30" t="s">
        <v>27</v>
      </c>
      <c r="S140" s="30" t="s">
        <v>560</v>
      </c>
      <c r="T140" s="30">
        <v>231599</v>
      </c>
      <c r="U140" s="74"/>
    </row>
    <row r="141" spans="1:21" ht="14" customHeight="1" x14ac:dyDescent="0.35">
      <c r="A141" s="71" t="s">
        <v>563</v>
      </c>
      <c r="B141" s="26" t="s">
        <v>427</v>
      </c>
      <c r="C141" s="26" t="s">
        <v>563</v>
      </c>
      <c r="D141" s="26">
        <v>11366000</v>
      </c>
      <c r="E141" s="26" t="s">
        <v>19</v>
      </c>
      <c r="F141" s="26" t="s">
        <v>20</v>
      </c>
      <c r="G141" s="26" t="s">
        <v>21</v>
      </c>
      <c r="H141" s="26" t="s">
        <v>303</v>
      </c>
      <c r="I141" s="26" t="s">
        <v>23</v>
      </c>
      <c r="J141" s="34">
        <v>66000</v>
      </c>
      <c r="K141" s="26">
        <v>165000</v>
      </c>
      <c r="L141" s="55">
        <f>IFERROR('RTK andmebaas'!$J141/'RTK andmebaas'!$K141,"")</f>
        <v>0.4</v>
      </c>
      <c r="M141" s="26" t="s">
        <v>24</v>
      </c>
      <c r="N141" s="24">
        <v>45468</v>
      </c>
      <c r="O141" s="25">
        <f t="shared" si="2"/>
        <v>2024</v>
      </c>
      <c r="P141" s="26" t="s">
        <v>559</v>
      </c>
      <c r="Q141" s="26" t="s">
        <v>26</v>
      </c>
      <c r="R141" s="26" t="s">
        <v>27</v>
      </c>
      <c r="S141" s="26" t="s">
        <v>560</v>
      </c>
      <c r="T141" s="26">
        <v>231599</v>
      </c>
      <c r="U141" s="73"/>
    </row>
    <row r="142" spans="1:21" ht="14" customHeight="1" x14ac:dyDescent="0.35">
      <c r="A142" s="70" t="s">
        <v>564</v>
      </c>
      <c r="B142" s="30" t="s">
        <v>437</v>
      </c>
      <c r="C142" s="30" t="s">
        <v>564</v>
      </c>
      <c r="D142" s="30">
        <v>11769005</v>
      </c>
      <c r="E142" s="30" t="s">
        <v>19</v>
      </c>
      <c r="F142" s="30" t="s">
        <v>93</v>
      </c>
      <c r="G142" s="30" t="s">
        <v>21</v>
      </c>
      <c r="H142" s="30" t="s">
        <v>47</v>
      </c>
      <c r="I142" s="30" t="s">
        <v>23</v>
      </c>
      <c r="J142" s="33">
        <v>46000</v>
      </c>
      <c r="K142" s="30">
        <v>230000</v>
      </c>
      <c r="L142" s="54">
        <f>IFERROR('RTK andmebaas'!$J142/'RTK andmebaas'!$K142,"")</f>
        <v>0.2</v>
      </c>
      <c r="M142" s="30" t="s">
        <v>24</v>
      </c>
      <c r="N142" s="19">
        <v>45462</v>
      </c>
      <c r="O142" s="20">
        <f t="shared" si="2"/>
        <v>2024</v>
      </c>
      <c r="P142" s="30" t="s">
        <v>559</v>
      </c>
      <c r="Q142" s="30" t="s">
        <v>26</v>
      </c>
      <c r="R142" s="30" t="s">
        <v>27</v>
      </c>
      <c r="S142" s="30" t="s">
        <v>560</v>
      </c>
      <c r="T142" s="30">
        <v>231599</v>
      </c>
      <c r="U142" s="74"/>
    </row>
    <row r="143" spans="1:21" ht="14" customHeight="1" x14ac:dyDescent="0.35">
      <c r="A143" s="71" t="s">
        <v>565</v>
      </c>
      <c r="B143" s="26" t="s">
        <v>401</v>
      </c>
      <c r="C143" s="26" t="s">
        <v>565</v>
      </c>
      <c r="D143" s="26">
        <v>10357045</v>
      </c>
      <c r="E143" s="26" t="s">
        <v>19</v>
      </c>
      <c r="F143" s="26" t="s">
        <v>93</v>
      </c>
      <c r="G143" s="26" t="s">
        <v>21</v>
      </c>
      <c r="H143" s="26" t="s">
        <v>32</v>
      </c>
      <c r="I143" s="26" t="s">
        <v>23</v>
      </c>
      <c r="J143" s="34">
        <v>35663.699999999997</v>
      </c>
      <c r="K143" s="26">
        <v>118879</v>
      </c>
      <c r="L143" s="55">
        <f>IFERROR('RTK andmebaas'!$J143/'RTK andmebaas'!$K143,"")</f>
        <v>0.3</v>
      </c>
      <c r="M143" s="26" t="s">
        <v>24</v>
      </c>
      <c r="N143" s="24">
        <v>45457</v>
      </c>
      <c r="O143" s="25">
        <f t="shared" si="2"/>
        <v>2024</v>
      </c>
      <c r="P143" s="26" t="s">
        <v>559</v>
      </c>
      <c r="Q143" s="26" t="s">
        <v>26</v>
      </c>
      <c r="R143" s="26" t="s">
        <v>27</v>
      </c>
      <c r="S143" s="26" t="s">
        <v>560</v>
      </c>
      <c r="T143" s="26">
        <v>231599</v>
      </c>
      <c r="U143" s="73"/>
    </row>
    <row r="144" spans="1:21" ht="14" customHeight="1" x14ac:dyDescent="0.35">
      <c r="A144" s="70" t="s">
        <v>566</v>
      </c>
      <c r="B144" s="30" t="s">
        <v>463</v>
      </c>
      <c r="C144" s="30" t="s">
        <v>566</v>
      </c>
      <c r="D144" s="30">
        <v>10975056</v>
      </c>
      <c r="E144" s="30" t="s">
        <v>19</v>
      </c>
      <c r="F144" s="30" t="s">
        <v>35</v>
      </c>
      <c r="G144" s="30" t="s">
        <v>21</v>
      </c>
      <c r="H144" s="30" t="s">
        <v>47</v>
      </c>
      <c r="I144" s="30" t="s">
        <v>23</v>
      </c>
      <c r="J144" s="33">
        <v>150000</v>
      </c>
      <c r="K144" s="30">
        <v>375000</v>
      </c>
      <c r="L144" s="54">
        <f>IFERROR('RTK andmebaas'!$J144/'RTK andmebaas'!$K144,"")</f>
        <v>0.4</v>
      </c>
      <c r="M144" s="30" t="s">
        <v>24</v>
      </c>
      <c r="N144" s="19">
        <v>45457</v>
      </c>
      <c r="O144" s="20">
        <f t="shared" si="2"/>
        <v>2024</v>
      </c>
      <c r="P144" s="30" t="s">
        <v>559</v>
      </c>
      <c r="Q144" s="30" t="s">
        <v>26</v>
      </c>
      <c r="R144" s="30" t="s">
        <v>27</v>
      </c>
      <c r="S144" s="30" t="s">
        <v>560</v>
      </c>
      <c r="T144" s="30">
        <v>231599</v>
      </c>
      <c r="U144" s="74"/>
    </row>
    <row r="145" spans="1:21" ht="14" customHeight="1" x14ac:dyDescent="0.35">
      <c r="A145" s="71" t="s">
        <v>567</v>
      </c>
      <c r="B145" s="26" t="s">
        <v>423</v>
      </c>
      <c r="C145" s="26" t="s">
        <v>567</v>
      </c>
      <c r="D145" s="26">
        <v>16196755</v>
      </c>
      <c r="E145" s="26" t="s">
        <v>19</v>
      </c>
      <c r="F145" s="26" t="s">
        <v>35</v>
      </c>
      <c r="G145" s="26" t="s">
        <v>21</v>
      </c>
      <c r="H145" s="26" t="s">
        <v>552</v>
      </c>
      <c r="I145" s="26" t="s">
        <v>23</v>
      </c>
      <c r="J145" s="34">
        <v>57000</v>
      </c>
      <c r="K145" s="26">
        <v>190000</v>
      </c>
      <c r="L145" s="55">
        <f>IFERROR('RTK andmebaas'!$J145/'RTK andmebaas'!$K145,"")</f>
        <v>0.3</v>
      </c>
      <c r="M145" s="26" t="s">
        <v>24</v>
      </c>
      <c r="N145" s="24">
        <v>45449</v>
      </c>
      <c r="O145" s="25">
        <f t="shared" si="2"/>
        <v>2024</v>
      </c>
      <c r="P145" s="26" t="s">
        <v>559</v>
      </c>
      <c r="Q145" s="26" t="s">
        <v>26</v>
      </c>
      <c r="R145" s="26" t="s">
        <v>27</v>
      </c>
      <c r="S145" s="26" t="s">
        <v>560</v>
      </c>
      <c r="T145" s="26">
        <v>231599</v>
      </c>
      <c r="U145" s="73"/>
    </row>
    <row r="146" spans="1:21" ht="14" customHeight="1" x14ac:dyDescent="0.35">
      <c r="A146" s="70" t="s">
        <v>568</v>
      </c>
      <c r="B146" s="30" t="s">
        <v>353</v>
      </c>
      <c r="C146" s="30" t="s">
        <v>568</v>
      </c>
      <c r="D146" s="30">
        <v>10400775</v>
      </c>
      <c r="E146" s="30" t="s">
        <v>19</v>
      </c>
      <c r="F146" s="30" t="s">
        <v>35</v>
      </c>
      <c r="G146" s="30" t="s">
        <v>21</v>
      </c>
      <c r="H146" s="30" t="s">
        <v>47</v>
      </c>
      <c r="I146" s="30" t="s">
        <v>23</v>
      </c>
      <c r="J146" s="33">
        <v>50000</v>
      </c>
      <c r="K146" s="30">
        <v>125000</v>
      </c>
      <c r="L146" s="54">
        <f>IFERROR('RTK andmebaas'!$J146/'RTK andmebaas'!$K146,"")</f>
        <v>0.4</v>
      </c>
      <c r="M146" s="30" t="s">
        <v>24</v>
      </c>
      <c r="N146" s="19">
        <v>45443</v>
      </c>
      <c r="O146" s="20">
        <f t="shared" si="2"/>
        <v>2024</v>
      </c>
      <c r="P146" s="30" t="s">
        <v>559</v>
      </c>
      <c r="Q146" s="30" t="s">
        <v>26</v>
      </c>
      <c r="R146" s="30" t="s">
        <v>27</v>
      </c>
      <c r="S146" s="30" t="s">
        <v>560</v>
      </c>
      <c r="T146" s="30">
        <v>231599</v>
      </c>
      <c r="U146" s="74"/>
    </row>
    <row r="147" spans="1:21" ht="14" customHeight="1" x14ac:dyDescent="0.35">
      <c r="A147" s="71" t="s">
        <v>569</v>
      </c>
      <c r="B147" s="26" t="s">
        <v>372</v>
      </c>
      <c r="C147" s="26" t="s">
        <v>569</v>
      </c>
      <c r="D147" s="26">
        <v>10930852</v>
      </c>
      <c r="E147" s="26" t="s">
        <v>19</v>
      </c>
      <c r="F147" s="26" t="s">
        <v>93</v>
      </c>
      <c r="G147" s="26" t="s">
        <v>21</v>
      </c>
      <c r="H147" s="26" t="s">
        <v>189</v>
      </c>
      <c r="I147" s="26" t="s">
        <v>23</v>
      </c>
      <c r="J147" s="34">
        <v>121500</v>
      </c>
      <c r="K147" s="26">
        <v>405000</v>
      </c>
      <c r="L147" s="55">
        <f>IFERROR('RTK andmebaas'!$J147/'RTK andmebaas'!$K147,"")</f>
        <v>0.3</v>
      </c>
      <c r="M147" s="26" t="s">
        <v>24</v>
      </c>
      <c r="N147" s="24">
        <v>45443</v>
      </c>
      <c r="O147" s="25">
        <f t="shared" si="2"/>
        <v>2024</v>
      </c>
      <c r="P147" s="26" t="s">
        <v>559</v>
      </c>
      <c r="Q147" s="26" t="s">
        <v>26</v>
      </c>
      <c r="R147" s="26" t="s">
        <v>27</v>
      </c>
      <c r="S147" s="26" t="s">
        <v>560</v>
      </c>
      <c r="T147" s="26">
        <v>231599</v>
      </c>
      <c r="U147" s="73"/>
    </row>
    <row r="148" spans="1:21" ht="14" customHeight="1" x14ac:dyDescent="0.35">
      <c r="A148" s="70" t="s">
        <v>570</v>
      </c>
      <c r="B148" s="30" t="s">
        <v>509</v>
      </c>
      <c r="C148" s="30" t="s">
        <v>570</v>
      </c>
      <c r="D148" s="30">
        <v>10664066</v>
      </c>
      <c r="E148" s="30" t="s">
        <v>19</v>
      </c>
      <c r="F148" s="30" t="s">
        <v>20</v>
      </c>
      <c r="G148" s="30" t="s">
        <v>21</v>
      </c>
      <c r="H148" s="30" t="s">
        <v>47</v>
      </c>
      <c r="I148" s="30" t="s">
        <v>23</v>
      </c>
      <c r="J148" s="33">
        <v>46500</v>
      </c>
      <c r="K148" s="30">
        <v>93000</v>
      </c>
      <c r="L148" s="54">
        <f>IFERROR('RTK andmebaas'!$J148/'RTK andmebaas'!$K148,"")</f>
        <v>0.5</v>
      </c>
      <c r="M148" s="30" t="s">
        <v>24</v>
      </c>
      <c r="N148" s="19">
        <v>45436</v>
      </c>
      <c r="O148" s="20">
        <f t="shared" si="2"/>
        <v>2024</v>
      </c>
      <c r="P148" s="30" t="s">
        <v>559</v>
      </c>
      <c r="Q148" s="30" t="s">
        <v>26</v>
      </c>
      <c r="R148" s="30" t="s">
        <v>27</v>
      </c>
      <c r="S148" s="30" t="s">
        <v>560</v>
      </c>
      <c r="T148" s="30">
        <v>231599</v>
      </c>
      <c r="U148" s="74"/>
    </row>
    <row r="149" spans="1:21" ht="14" customHeight="1" x14ac:dyDescent="0.35">
      <c r="A149" s="71" t="s">
        <v>571</v>
      </c>
      <c r="B149" s="26" t="s">
        <v>184</v>
      </c>
      <c r="C149" s="26" t="s">
        <v>571</v>
      </c>
      <c r="D149" s="26">
        <v>10086633</v>
      </c>
      <c r="E149" s="26" t="s">
        <v>19</v>
      </c>
      <c r="F149" s="26" t="s">
        <v>20</v>
      </c>
      <c r="G149" s="26" t="s">
        <v>21</v>
      </c>
      <c r="H149" s="26" t="s">
        <v>101</v>
      </c>
      <c r="I149" s="26" t="s">
        <v>23</v>
      </c>
      <c r="J149" s="34">
        <v>40340.78</v>
      </c>
      <c r="K149" s="26">
        <v>80681.55</v>
      </c>
      <c r="L149" s="55">
        <f>IFERROR('RTK andmebaas'!$J149/'RTK andmebaas'!$K149,"")</f>
        <v>0.50000006197203695</v>
      </c>
      <c r="M149" s="26" t="s">
        <v>24</v>
      </c>
      <c r="N149" s="24">
        <v>45436</v>
      </c>
      <c r="O149" s="25">
        <f t="shared" si="2"/>
        <v>2024</v>
      </c>
      <c r="P149" s="26" t="s">
        <v>559</v>
      </c>
      <c r="Q149" s="26" t="s">
        <v>26</v>
      </c>
      <c r="R149" s="26" t="s">
        <v>27</v>
      </c>
      <c r="S149" s="26" t="s">
        <v>560</v>
      </c>
      <c r="T149" s="26">
        <v>231599</v>
      </c>
      <c r="U149" s="73"/>
    </row>
    <row r="150" spans="1:21" ht="14" customHeight="1" x14ac:dyDescent="0.35">
      <c r="A150" s="70" t="s">
        <v>572</v>
      </c>
      <c r="B150" s="30" t="s">
        <v>390</v>
      </c>
      <c r="C150" s="30" t="s">
        <v>572</v>
      </c>
      <c r="D150" s="30">
        <v>12681488</v>
      </c>
      <c r="E150" s="30" t="s">
        <v>19</v>
      </c>
      <c r="F150" s="30" t="s">
        <v>93</v>
      </c>
      <c r="G150" s="30" t="s">
        <v>21</v>
      </c>
      <c r="H150" s="30" t="s">
        <v>47</v>
      </c>
      <c r="I150" s="30" t="s">
        <v>23</v>
      </c>
      <c r="J150" s="33">
        <v>500000</v>
      </c>
      <c r="K150" s="30">
        <v>1666666.67</v>
      </c>
      <c r="L150" s="54">
        <f>IFERROR('RTK andmebaas'!$J150/'RTK andmebaas'!$K150,"")</f>
        <v>0.29999999939999999</v>
      </c>
      <c r="M150" s="30" t="s">
        <v>24</v>
      </c>
      <c r="N150" s="19">
        <v>45412</v>
      </c>
      <c r="O150" s="20">
        <f t="shared" si="2"/>
        <v>2024</v>
      </c>
      <c r="P150" s="30" t="s">
        <v>559</v>
      </c>
      <c r="Q150" s="30" t="s">
        <v>26</v>
      </c>
      <c r="R150" s="30" t="s">
        <v>27</v>
      </c>
      <c r="S150" s="30" t="s">
        <v>560</v>
      </c>
      <c r="T150" s="30">
        <v>231599</v>
      </c>
      <c r="U150" s="74"/>
    </row>
    <row r="151" spans="1:21" ht="14" customHeight="1" x14ac:dyDescent="0.35">
      <c r="A151" s="71" t="s">
        <v>573</v>
      </c>
      <c r="B151" s="26" t="s">
        <v>481</v>
      </c>
      <c r="C151" s="26" t="s">
        <v>573</v>
      </c>
      <c r="D151" s="26">
        <v>10322549</v>
      </c>
      <c r="E151" s="26" t="s">
        <v>19</v>
      </c>
      <c r="F151" s="26" t="s">
        <v>35</v>
      </c>
      <c r="G151" s="26" t="s">
        <v>21</v>
      </c>
      <c r="H151" s="26" t="s">
        <v>265</v>
      </c>
      <c r="I151" s="26" t="s">
        <v>23</v>
      </c>
      <c r="J151" s="34">
        <v>140000</v>
      </c>
      <c r="K151" s="26">
        <v>350000</v>
      </c>
      <c r="L151" s="55">
        <f>IFERROR('RTK andmebaas'!$J151/'RTK andmebaas'!$K151,"")</f>
        <v>0.4</v>
      </c>
      <c r="M151" s="26" t="s">
        <v>24</v>
      </c>
      <c r="N151" s="24">
        <v>45399</v>
      </c>
      <c r="O151" s="25">
        <f t="shared" si="2"/>
        <v>2024</v>
      </c>
      <c r="P151" s="26" t="s">
        <v>559</v>
      </c>
      <c r="Q151" s="26" t="s">
        <v>26</v>
      </c>
      <c r="R151" s="26" t="s">
        <v>27</v>
      </c>
      <c r="S151" s="26" t="s">
        <v>560</v>
      </c>
      <c r="T151" s="26">
        <v>231599</v>
      </c>
      <c r="U151" s="73"/>
    </row>
    <row r="152" spans="1:21" ht="14" customHeight="1" x14ac:dyDescent="0.35">
      <c r="A152" s="70" t="s">
        <v>574</v>
      </c>
      <c r="B152" s="30" t="s">
        <v>395</v>
      </c>
      <c r="C152" s="30" t="s">
        <v>574</v>
      </c>
      <c r="D152" s="30">
        <v>10249976</v>
      </c>
      <c r="E152" s="30" t="s">
        <v>19</v>
      </c>
      <c r="F152" s="30" t="s">
        <v>93</v>
      </c>
      <c r="G152" s="30" t="s">
        <v>21</v>
      </c>
      <c r="H152" s="30" t="s">
        <v>47</v>
      </c>
      <c r="I152" s="30" t="s">
        <v>23</v>
      </c>
      <c r="J152" s="33">
        <v>13500</v>
      </c>
      <c r="K152" s="30">
        <v>45000</v>
      </c>
      <c r="L152" s="54">
        <f>IFERROR('RTK andmebaas'!$J152/'RTK andmebaas'!$K152,"")</f>
        <v>0.3</v>
      </c>
      <c r="M152" s="30" t="s">
        <v>24</v>
      </c>
      <c r="N152" s="19">
        <v>45397</v>
      </c>
      <c r="O152" s="20">
        <f t="shared" si="2"/>
        <v>2024</v>
      </c>
      <c r="P152" s="30" t="s">
        <v>559</v>
      </c>
      <c r="Q152" s="30" t="s">
        <v>26</v>
      </c>
      <c r="R152" s="30" t="s">
        <v>27</v>
      </c>
      <c r="S152" s="30" t="s">
        <v>560</v>
      </c>
      <c r="T152" s="30">
        <v>231599</v>
      </c>
      <c r="U152" s="74"/>
    </row>
    <row r="153" spans="1:21" ht="14" customHeight="1" x14ac:dyDescent="0.35">
      <c r="A153" s="71" t="s">
        <v>575</v>
      </c>
      <c r="B153" s="26" t="s">
        <v>516</v>
      </c>
      <c r="C153" s="26" t="s">
        <v>575</v>
      </c>
      <c r="D153" s="26">
        <v>10533890</v>
      </c>
      <c r="E153" s="26" t="s">
        <v>19</v>
      </c>
      <c r="F153" s="26" t="s">
        <v>35</v>
      </c>
      <c r="G153" s="26" t="s">
        <v>21</v>
      </c>
      <c r="H153" s="26" t="s">
        <v>101</v>
      </c>
      <c r="I153" s="26" t="s">
        <v>23</v>
      </c>
      <c r="J153" s="34">
        <v>500000</v>
      </c>
      <c r="K153" s="26">
        <v>1250000</v>
      </c>
      <c r="L153" s="55">
        <f>IFERROR('RTK andmebaas'!$J153/'RTK andmebaas'!$K153,"")</f>
        <v>0.4</v>
      </c>
      <c r="M153" s="26" t="s">
        <v>24</v>
      </c>
      <c r="N153" s="24">
        <v>45391</v>
      </c>
      <c r="O153" s="25">
        <f t="shared" si="2"/>
        <v>2024</v>
      </c>
      <c r="P153" s="26" t="s">
        <v>559</v>
      </c>
      <c r="Q153" s="26" t="s">
        <v>26</v>
      </c>
      <c r="R153" s="26" t="s">
        <v>27</v>
      </c>
      <c r="S153" s="26" t="s">
        <v>560</v>
      </c>
      <c r="T153" s="26">
        <v>231599</v>
      </c>
      <c r="U153" s="73"/>
    </row>
    <row r="154" spans="1:21" ht="14" customHeight="1" x14ac:dyDescent="0.35">
      <c r="A154" s="70" t="s">
        <v>576</v>
      </c>
      <c r="B154" s="30" t="s">
        <v>520</v>
      </c>
      <c r="C154" s="30" t="s">
        <v>576</v>
      </c>
      <c r="D154" s="30">
        <v>10731489</v>
      </c>
      <c r="E154" s="30" t="s">
        <v>19</v>
      </c>
      <c r="F154" s="30" t="s">
        <v>93</v>
      </c>
      <c r="G154" s="30" t="s">
        <v>21</v>
      </c>
      <c r="H154" s="30" t="s">
        <v>577</v>
      </c>
      <c r="I154" s="30" t="s">
        <v>23</v>
      </c>
      <c r="J154" s="33">
        <v>177000</v>
      </c>
      <c r="K154" s="30">
        <v>885000</v>
      </c>
      <c r="L154" s="54">
        <f>IFERROR('RTK andmebaas'!$J154/'RTK andmebaas'!$K154,"")</f>
        <v>0.2</v>
      </c>
      <c r="M154" s="30" t="s">
        <v>24</v>
      </c>
      <c r="N154" s="19">
        <v>45391</v>
      </c>
      <c r="O154" s="20">
        <f t="shared" si="2"/>
        <v>2024</v>
      </c>
      <c r="P154" s="30" t="s">
        <v>559</v>
      </c>
      <c r="Q154" s="30" t="s">
        <v>26</v>
      </c>
      <c r="R154" s="30" t="s">
        <v>27</v>
      </c>
      <c r="S154" s="30" t="s">
        <v>560</v>
      </c>
      <c r="T154" s="30">
        <v>231599</v>
      </c>
      <c r="U154" s="74"/>
    </row>
    <row r="155" spans="1:21" ht="14" customHeight="1" x14ac:dyDescent="0.35">
      <c r="A155" s="71" t="s">
        <v>578</v>
      </c>
      <c r="B155" s="26" t="s">
        <v>349</v>
      </c>
      <c r="C155" s="26" t="s">
        <v>578</v>
      </c>
      <c r="D155" s="26">
        <v>10060658</v>
      </c>
      <c r="E155" s="26" t="s">
        <v>19</v>
      </c>
      <c r="F155" s="26" t="s">
        <v>35</v>
      </c>
      <c r="G155" s="26" t="s">
        <v>21</v>
      </c>
      <c r="H155" s="26" t="s">
        <v>180</v>
      </c>
      <c r="I155" s="26" t="s">
        <v>23</v>
      </c>
      <c r="J155" s="34">
        <v>72651</v>
      </c>
      <c r="K155" s="26">
        <v>242170</v>
      </c>
      <c r="L155" s="55">
        <f>IFERROR('RTK andmebaas'!$J155/'RTK andmebaas'!$K155,"")</f>
        <v>0.3</v>
      </c>
      <c r="M155" s="26" t="s">
        <v>24</v>
      </c>
      <c r="N155" s="24">
        <v>45377</v>
      </c>
      <c r="O155" s="25">
        <f t="shared" si="2"/>
        <v>2024</v>
      </c>
      <c r="P155" s="26" t="s">
        <v>559</v>
      </c>
      <c r="Q155" s="26" t="s">
        <v>26</v>
      </c>
      <c r="R155" s="26" t="s">
        <v>27</v>
      </c>
      <c r="S155" s="26" t="s">
        <v>560</v>
      </c>
      <c r="T155" s="26">
        <v>231599</v>
      </c>
      <c r="U155" s="73"/>
    </row>
    <row r="156" spans="1:21" ht="14" customHeight="1" x14ac:dyDescent="0.35">
      <c r="A156" s="70" t="s">
        <v>579</v>
      </c>
      <c r="B156" s="30" t="s">
        <v>474</v>
      </c>
      <c r="C156" s="30" t="s">
        <v>579</v>
      </c>
      <c r="D156" s="30">
        <v>10207067</v>
      </c>
      <c r="E156" s="30" t="s">
        <v>19</v>
      </c>
      <c r="F156" s="30" t="s">
        <v>93</v>
      </c>
      <c r="G156" s="30" t="s">
        <v>21</v>
      </c>
      <c r="H156" s="30" t="s">
        <v>32</v>
      </c>
      <c r="I156" s="30" t="s">
        <v>23</v>
      </c>
      <c r="J156" s="33">
        <v>437597.7</v>
      </c>
      <c r="K156" s="30">
        <v>1458659</v>
      </c>
      <c r="L156" s="54">
        <f>IFERROR('RTK andmebaas'!$J156/'RTK andmebaas'!$K156,"")</f>
        <v>0.3</v>
      </c>
      <c r="M156" s="30" t="s">
        <v>24</v>
      </c>
      <c r="N156" s="19">
        <v>45368</v>
      </c>
      <c r="O156" s="20">
        <f t="shared" si="2"/>
        <v>2024</v>
      </c>
      <c r="P156" s="30" t="s">
        <v>559</v>
      </c>
      <c r="Q156" s="30" t="s">
        <v>26</v>
      </c>
      <c r="R156" s="30" t="s">
        <v>27</v>
      </c>
      <c r="S156" s="30" t="s">
        <v>560</v>
      </c>
      <c r="T156" s="30">
        <v>231599</v>
      </c>
      <c r="U156" s="74"/>
    </row>
    <row r="157" spans="1:21" ht="14" customHeight="1" x14ac:dyDescent="0.35">
      <c r="A157" s="71" t="s">
        <v>580</v>
      </c>
      <c r="B157" s="26" t="s">
        <v>398</v>
      </c>
      <c r="C157" s="26" t="s">
        <v>580</v>
      </c>
      <c r="D157" s="26">
        <v>12216538</v>
      </c>
      <c r="E157" s="26" t="s">
        <v>19</v>
      </c>
      <c r="F157" s="26" t="s">
        <v>93</v>
      </c>
      <c r="G157" s="26" t="s">
        <v>21</v>
      </c>
      <c r="H157" s="26" t="s">
        <v>32</v>
      </c>
      <c r="I157" s="26" t="s">
        <v>23</v>
      </c>
      <c r="J157" s="34">
        <v>242954.4</v>
      </c>
      <c r="K157" s="26">
        <v>809848</v>
      </c>
      <c r="L157" s="55">
        <f>IFERROR('RTK andmebaas'!$J157/'RTK andmebaas'!$K157,"")</f>
        <v>0.3</v>
      </c>
      <c r="M157" s="26" t="s">
        <v>24</v>
      </c>
      <c r="N157" s="24">
        <v>45350</v>
      </c>
      <c r="O157" s="25">
        <f t="shared" si="2"/>
        <v>2024</v>
      </c>
      <c r="P157" s="26" t="s">
        <v>559</v>
      </c>
      <c r="Q157" s="26" t="s">
        <v>26</v>
      </c>
      <c r="R157" s="26" t="s">
        <v>27</v>
      </c>
      <c r="S157" s="26" t="s">
        <v>560</v>
      </c>
      <c r="T157" s="26">
        <v>231599</v>
      </c>
      <c r="U157" s="73"/>
    </row>
    <row r="158" spans="1:21" ht="14" customHeight="1" x14ac:dyDescent="0.35">
      <c r="A158" s="70" t="s">
        <v>581</v>
      </c>
      <c r="B158" s="30" t="s">
        <v>325</v>
      </c>
      <c r="C158" s="30" t="s">
        <v>581</v>
      </c>
      <c r="D158" s="30">
        <v>12318492</v>
      </c>
      <c r="E158" s="30" t="s">
        <v>19</v>
      </c>
      <c r="F158" s="30" t="s">
        <v>93</v>
      </c>
      <c r="G158" s="30" t="s">
        <v>21</v>
      </c>
      <c r="H158" s="30" t="s">
        <v>22</v>
      </c>
      <c r="I158" s="30" t="s">
        <v>23</v>
      </c>
      <c r="J158" s="33"/>
      <c r="K158" s="30" t="s">
        <v>23</v>
      </c>
      <c r="L158" s="54" t="str">
        <f>IFERROR('RTK andmebaas'!$J158/'RTK andmebaas'!$K158,"")</f>
        <v/>
      </c>
      <c r="M158" s="30" t="s">
        <v>24</v>
      </c>
      <c r="N158" s="19">
        <v>45345</v>
      </c>
      <c r="O158" s="20">
        <f t="shared" si="2"/>
        <v>2024</v>
      </c>
      <c r="P158" s="30" t="s">
        <v>559</v>
      </c>
      <c r="Q158" s="30" t="s">
        <v>26</v>
      </c>
      <c r="R158" s="30" t="s">
        <v>27</v>
      </c>
      <c r="S158" s="30" t="s">
        <v>560</v>
      </c>
      <c r="T158" s="30">
        <v>231599</v>
      </c>
      <c r="U158" s="74"/>
    </row>
    <row r="159" spans="1:21" ht="14" customHeight="1" x14ac:dyDescent="0.35">
      <c r="A159" s="71" t="s">
        <v>582</v>
      </c>
      <c r="B159" s="26" t="s">
        <v>493</v>
      </c>
      <c r="C159" s="26" t="s">
        <v>582</v>
      </c>
      <c r="D159" s="26">
        <v>12068782</v>
      </c>
      <c r="E159" s="26" t="s">
        <v>19</v>
      </c>
      <c r="F159" s="26" t="s">
        <v>93</v>
      </c>
      <c r="G159" s="26" t="s">
        <v>21</v>
      </c>
      <c r="H159" s="26" t="s">
        <v>47</v>
      </c>
      <c r="I159" s="26" t="s">
        <v>23</v>
      </c>
      <c r="J159" s="34">
        <v>500000</v>
      </c>
      <c r="K159" s="26">
        <v>1666666.67</v>
      </c>
      <c r="L159" s="55">
        <f>IFERROR('RTK andmebaas'!$J159/'RTK andmebaas'!$K159,"")</f>
        <v>0.29999999939999999</v>
      </c>
      <c r="M159" s="26" t="s">
        <v>24</v>
      </c>
      <c r="N159" s="24">
        <v>45327</v>
      </c>
      <c r="O159" s="25">
        <f t="shared" si="2"/>
        <v>2024</v>
      </c>
      <c r="P159" s="26" t="s">
        <v>559</v>
      </c>
      <c r="Q159" s="26" t="s">
        <v>26</v>
      </c>
      <c r="R159" s="26" t="s">
        <v>27</v>
      </c>
      <c r="S159" s="26" t="s">
        <v>560</v>
      </c>
      <c r="T159" s="26">
        <v>231599</v>
      </c>
      <c r="U159" s="73"/>
    </row>
    <row r="160" spans="1:21" ht="14" customHeight="1" x14ac:dyDescent="0.35">
      <c r="A160" s="70" t="s">
        <v>583</v>
      </c>
      <c r="B160" s="30" t="s">
        <v>358</v>
      </c>
      <c r="C160" s="30" t="s">
        <v>583</v>
      </c>
      <c r="D160" s="30">
        <v>10149813</v>
      </c>
      <c r="E160" s="30" t="s">
        <v>19</v>
      </c>
      <c r="F160" s="30" t="s">
        <v>35</v>
      </c>
      <c r="G160" s="30" t="s">
        <v>21</v>
      </c>
      <c r="H160" s="30" t="s">
        <v>554</v>
      </c>
      <c r="I160" s="30" t="s">
        <v>23</v>
      </c>
      <c r="J160" s="33">
        <v>274000</v>
      </c>
      <c r="K160" s="30">
        <v>685000</v>
      </c>
      <c r="L160" s="54">
        <f>IFERROR('RTK andmebaas'!$J160/'RTK andmebaas'!$K160,"")</f>
        <v>0.4</v>
      </c>
      <c r="M160" s="30" t="s">
        <v>24</v>
      </c>
      <c r="N160" s="19">
        <v>45327</v>
      </c>
      <c r="O160" s="20">
        <f t="shared" si="2"/>
        <v>2024</v>
      </c>
      <c r="P160" s="30" t="s">
        <v>559</v>
      </c>
      <c r="Q160" s="30" t="s">
        <v>26</v>
      </c>
      <c r="R160" s="30" t="s">
        <v>27</v>
      </c>
      <c r="S160" s="30" t="s">
        <v>560</v>
      </c>
      <c r="T160" s="30">
        <v>231599</v>
      </c>
      <c r="U160" s="74"/>
    </row>
    <row r="161" spans="1:21" ht="14" customHeight="1" x14ac:dyDescent="0.35">
      <c r="A161" s="71" t="s">
        <v>584</v>
      </c>
      <c r="B161" s="26" t="s">
        <v>512</v>
      </c>
      <c r="C161" s="26" t="s">
        <v>584</v>
      </c>
      <c r="D161" s="26">
        <v>11439130</v>
      </c>
      <c r="E161" s="26" t="s">
        <v>19</v>
      </c>
      <c r="F161" s="26" t="s">
        <v>46</v>
      </c>
      <c r="G161" s="26" t="s">
        <v>21</v>
      </c>
      <c r="H161" s="26" t="s">
        <v>70</v>
      </c>
      <c r="I161" s="26" t="s">
        <v>23</v>
      </c>
      <c r="J161" s="34">
        <v>5128.5</v>
      </c>
      <c r="K161" s="26">
        <v>10257</v>
      </c>
      <c r="L161" s="55">
        <f>IFERROR('RTK andmebaas'!$J161/'RTK andmebaas'!$K161,"")</f>
        <v>0.5</v>
      </c>
      <c r="M161" s="26" t="s">
        <v>24</v>
      </c>
      <c r="N161" s="24">
        <v>45327</v>
      </c>
      <c r="O161" s="25">
        <f t="shared" si="2"/>
        <v>2024</v>
      </c>
      <c r="P161" s="26" t="s">
        <v>559</v>
      </c>
      <c r="Q161" s="26" t="s">
        <v>26</v>
      </c>
      <c r="R161" s="26" t="s">
        <v>27</v>
      </c>
      <c r="S161" s="26" t="s">
        <v>560</v>
      </c>
      <c r="T161" s="26">
        <v>231599</v>
      </c>
      <c r="U161" s="73"/>
    </row>
    <row r="162" spans="1:21" ht="14" customHeight="1" x14ac:dyDescent="0.35">
      <c r="A162" s="70" t="s">
        <v>585</v>
      </c>
      <c r="B162" s="30" t="s">
        <v>477</v>
      </c>
      <c r="C162" s="30" t="s">
        <v>585</v>
      </c>
      <c r="D162" s="30">
        <v>10160503</v>
      </c>
      <c r="E162" s="30" t="s">
        <v>19</v>
      </c>
      <c r="F162" s="30" t="s">
        <v>35</v>
      </c>
      <c r="G162" s="30" t="s">
        <v>21</v>
      </c>
      <c r="H162" s="30" t="s">
        <v>22</v>
      </c>
      <c r="I162" s="30" t="s">
        <v>23</v>
      </c>
      <c r="J162" s="33">
        <v>222000</v>
      </c>
      <c r="K162" s="30">
        <v>555000</v>
      </c>
      <c r="L162" s="54">
        <f>IFERROR('RTK andmebaas'!$J162/'RTK andmebaas'!$K162,"")</f>
        <v>0.4</v>
      </c>
      <c r="M162" s="30" t="s">
        <v>24</v>
      </c>
      <c r="N162" s="19">
        <v>45322</v>
      </c>
      <c r="O162" s="20">
        <f t="shared" si="2"/>
        <v>2024</v>
      </c>
      <c r="P162" s="30" t="s">
        <v>559</v>
      </c>
      <c r="Q162" s="30" t="s">
        <v>26</v>
      </c>
      <c r="R162" s="30" t="s">
        <v>27</v>
      </c>
      <c r="S162" s="30" t="s">
        <v>560</v>
      </c>
      <c r="T162" s="30">
        <v>231599</v>
      </c>
      <c r="U162" s="74"/>
    </row>
    <row r="163" spans="1:21" ht="14" customHeight="1" x14ac:dyDescent="0.35">
      <c r="A163" s="71" t="s">
        <v>586</v>
      </c>
      <c r="B163" s="26" t="s">
        <v>393</v>
      </c>
      <c r="C163" s="26" t="s">
        <v>586</v>
      </c>
      <c r="D163" s="26">
        <v>10657801</v>
      </c>
      <c r="E163" s="26" t="s">
        <v>19</v>
      </c>
      <c r="F163" s="26" t="s">
        <v>93</v>
      </c>
      <c r="G163" s="26" t="s">
        <v>21</v>
      </c>
      <c r="H163" s="26" t="s">
        <v>32</v>
      </c>
      <c r="I163" s="26" t="s">
        <v>23</v>
      </c>
      <c r="J163" s="34">
        <v>290326.5</v>
      </c>
      <c r="K163" s="26">
        <v>967755</v>
      </c>
      <c r="L163" s="55">
        <f>IFERROR('RTK andmebaas'!$J163/'RTK andmebaas'!$K163,"")</f>
        <v>0.3</v>
      </c>
      <c r="M163" s="26" t="s">
        <v>24</v>
      </c>
      <c r="N163" s="24">
        <v>45321</v>
      </c>
      <c r="O163" s="25">
        <f t="shared" si="2"/>
        <v>2024</v>
      </c>
      <c r="P163" s="26" t="s">
        <v>559</v>
      </c>
      <c r="Q163" s="26" t="s">
        <v>26</v>
      </c>
      <c r="R163" s="26" t="s">
        <v>27</v>
      </c>
      <c r="S163" s="26" t="s">
        <v>560</v>
      </c>
      <c r="T163" s="26">
        <v>231599</v>
      </c>
      <c r="U163" s="73"/>
    </row>
    <row r="164" spans="1:21" ht="14" customHeight="1" x14ac:dyDescent="0.35">
      <c r="A164" s="70" t="s">
        <v>587</v>
      </c>
      <c r="B164" s="30" t="s">
        <v>356</v>
      </c>
      <c r="C164" s="30" t="s">
        <v>587</v>
      </c>
      <c r="D164" s="30">
        <v>10149335</v>
      </c>
      <c r="E164" s="30" t="s">
        <v>19</v>
      </c>
      <c r="F164" s="30" t="s">
        <v>93</v>
      </c>
      <c r="G164" s="30" t="s">
        <v>21</v>
      </c>
      <c r="H164" s="30" t="s">
        <v>130</v>
      </c>
      <c r="I164" s="30" t="s">
        <v>23</v>
      </c>
      <c r="J164" s="33">
        <v>148667.46</v>
      </c>
      <c r="K164" s="30">
        <v>495558.2</v>
      </c>
      <c r="L164" s="54">
        <f>IFERROR('RTK andmebaas'!$J164/'RTK andmebaas'!$K164,"")</f>
        <v>0.3</v>
      </c>
      <c r="M164" s="30" t="s">
        <v>24</v>
      </c>
      <c r="N164" s="19">
        <v>45314</v>
      </c>
      <c r="O164" s="20">
        <f t="shared" si="2"/>
        <v>2024</v>
      </c>
      <c r="P164" s="30" t="s">
        <v>559</v>
      </c>
      <c r="Q164" s="30" t="s">
        <v>26</v>
      </c>
      <c r="R164" s="30" t="s">
        <v>27</v>
      </c>
      <c r="S164" s="30" t="s">
        <v>560</v>
      </c>
      <c r="T164" s="30">
        <v>231599</v>
      </c>
      <c r="U164" s="74"/>
    </row>
    <row r="165" spans="1:21" ht="14" customHeight="1" x14ac:dyDescent="0.35">
      <c r="A165" s="71" t="s">
        <v>588</v>
      </c>
      <c r="B165" s="26" t="s">
        <v>403</v>
      </c>
      <c r="C165" s="26" t="s">
        <v>588</v>
      </c>
      <c r="D165" s="26">
        <v>10098158</v>
      </c>
      <c r="E165" s="26" t="s">
        <v>19</v>
      </c>
      <c r="F165" s="26" t="s">
        <v>93</v>
      </c>
      <c r="G165" s="26" t="s">
        <v>21</v>
      </c>
      <c r="H165" s="26" t="s">
        <v>555</v>
      </c>
      <c r="I165" s="26" t="s">
        <v>23</v>
      </c>
      <c r="J165" s="34">
        <v>25000</v>
      </c>
      <c r="K165" s="26">
        <v>125000</v>
      </c>
      <c r="L165" s="55">
        <f>IFERROR('RTK andmebaas'!$J165/'RTK andmebaas'!$K165,"")</f>
        <v>0.2</v>
      </c>
      <c r="M165" s="26" t="s">
        <v>24</v>
      </c>
      <c r="N165" s="24">
        <v>45302</v>
      </c>
      <c r="O165" s="25">
        <f t="shared" si="2"/>
        <v>2024</v>
      </c>
      <c r="P165" s="26" t="s">
        <v>559</v>
      </c>
      <c r="Q165" s="26" t="s">
        <v>26</v>
      </c>
      <c r="R165" s="26" t="s">
        <v>27</v>
      </c>
      <c r="S165" s="26" t="s">
        <v>560</v>
      </c>
      <c r="T165" s="26">
        <v>231599</v>
      </c>
      <c r="U165" s="73"/>
    </row>
    <row r="166" spans="1:21" ht="14" customHeight="1" x14ac:dyDescent="0.35">
      <c r="A166" s="70" t="s">
        <v>589</v>
      </c>
      <c r="B166" s="30" t="s">
        <v>409</v>
      </c>
      <c r="C166" s="30" t="s">
        <v>589</v>
      </c>
      <c r="D166" s="30">
        <v>10462380</v>
      </c>
      <c r="E166" s="30" t="s">
        <v>19</v>
      </c>
      <c r="F166" s="30" t="s">
        <v>93</v>
      </c>
      <c r="G166" s="30" t="s">
        <v>21</v>
      </c>
      <c r="H166" s="30" t="s">
        <v>36</v>
      </c>
      <c r="I166" s="30"/>
      <c r="J166" s="33">
        <v>56000</v>
      </c>
      <c r="K166" s="30">
        <v>280000</v>
      </c>
      <c r="L166" s="54">
        <f>IFERROR('RTK andmebaas'!$J166/'RTK andmebaas'!$K166,"")</f>
        <v>0.2</v>
      </c>
      <c r="M166" s="30" t="s">
        <v>24</v>
      </c>
      <c r="N166" s="19">
        <v>45288</v>
      </c>
      <c r="O166" s="20">
        <f t="shared" si="2"/>
        <v>2023</v>
      </c>
      <c r="P166" s="30" t="s">
        <v>559</v>
      </c>
      <c r="Q166" s="30" t="s">
        <v>26</v>
      </c>
      <c r="R166" s="30" t="s">
        <v>27</v>
      </c>
      <c r="S166" s="30" t="s">
        <v>590</v>
      </c>
      <c r="T166" s="30">
        <v>231574</v>
      </c>
      <c r="U166" s="74"/>
    </row>
    <row r="167" spans="1:21" ht="14" customHeight="1" x14ac:dyDescent="0.35">
      <c r="A167" s="71" t="s">
        <v>591</v>
      </c>
      <c r="B167" s="26" t="s">
        <v>440</v>
      </c>
      <c r="C167" s="26" t="s">
        <v>591</v>
      </c>
      <c r="D167" s="26">
        <v>10936116</v>
      </c>
      <c r="E167" s="26" t="s">
        <v>19</v>
      </c>
      <c r="F167" s="26" t="s">
        <v>35</v>
      </c>
      <c r="G167" s="26" t="s">
        <v>21</v>
      </c>
      <c r="H167" s="26" t="s">
        <v>43</v>
      </c>
      <c r="I167" s="26"/>
      <c r="J167" s="34">
        <v>336039.2</v>
      </c>
      <c r="K167" s="26">
        <v>840098</v>
      </c>
      <c r="L167" s="55">
        <f>IFERROR('RTK andmebaas'!$J167/'RTK andmebaas'!$K167,"")</f>
        <v>0.4</v>
      </c>
      <c r="M167" s="26" t="s">
        <v>24</v>
      </c>
      <c r="N167" s="24">
        <v>45288</v>
      </c>
      <c r="O167" s="25">
        <f t="shared" si="2"/>
        <v>2023</v>
      </c>
      <c r="P167" s="26" t="s">
        <v>559</v>
      </c>
      <c r="Q167" s="26" t="s">
        <v>26</v>
      </c>
      <c r="R167" s="26" t="s">
        <v>27</v>
      </c>
      <c r="S167" s="26" t="s">
        <v>590</v>
      </c>
      <c r="T167" s="26">
        <v>231574</v>
      </c>
      <c r="U167" s="73"/>
    </row>
    <row r="168" spans="1:21" ht="14" customHeight="1" x14ac:dyDescent="0.35">
      <c r="A168" s="70" t="s">
        <v>592</v>
      </c>
      <c r="B168" s="30" t="s">
        <v>529</v>
      </c>
      <c r="C168" s="30" t="s">
        <v>592</v>
      </c>
      <c r="D168" s="30">
        <v>12788418</v>
      </c>
      <c r="E168" s="30" t="s">
        <v>19</v>
      </c>
      <c r="F168" s="30" t="s">
        <v>20</v>
      </c>
      <c r="G168" s="30" t="s">
        <v>21</v>
      </c>
      <c r="H168" s="30" t="s">
        <v>189</v>
      </c>
      <c r="I168" s="30"/>
      <c r="J168" s="33">
        <v>190000</v>
      </c>
      <c r="K168" s="30">
        <v>380000</v>
      </c>
      <c r="L168" s="54">
        <f>IFERROR('RTK andmebaas'!$J168/'RTK andmebaas'!$K168,"")</f>
        <v>0.5</v>
      </c>
      <c r="M168" s="30" t="s">
        <v>24</v>
      </c>
      <c r="N168" s="19">
        <v>45286</v>
      </c>
      <c r="O168" s="20">
        <f t="shared" si="2"/>
        <v>2023</v>
      </c>
      <c r="P168" s="30" t="s">
        <v>559</v>
      </c>
      <c r="Q168" s="30" t="s">
        <v>26</v>
      </c>
      <c r="R168" s="30" t="s">
        <v>27</v>
      </c>
      <c r="S168" s="30" t="s">
        <v>590</v>
      </c>
      <c r="T168" s="30">
        <v>231574</v>
      </c>
      <c r="U168" s="74"/>
    </row>
    <row r="169" spans="1:21" ht="14" customHeight="1" x14ac:dyDescent="0.35">
      <c r="A169" s="71" t="s">
        <v>593</v>
      </c>
      <c r="B169" s="26" t="s">
        <v>423</v>
      </c>
      <c r="C169" s="26" t="s">
        <v>593</v>
      </c>
      <c r="D169" s="26">
        <v>16196755</v>
      </c>
      <c r="E169" s="26" t="s">
        <v>19</v>
      </c>
      <c r="F169" s="26" t="s">
        <v>35</v>
      </c>
      <c r="G169" s="26" t="s">
        <v>21</v>
      </c>
      <c r="H169" s="26" t="s">
        <v>552</v>
      </c>
      <c r="I169" s="26"/>
      <c r="J169" s="34">
        <v>58000</v>
      </c>
      <c r="K169" s="26">
        <v>145000</v>
      </c>
      <c r="L169" s="55">
        <f>IFERROR('RTK andmebaas'!$J169/'RTK andmebaas'!$K169,"")</f>
        <v>0.4</v>
      </c>
      <c r="M169" s="26" t="s">
        <v>24</v>
      </c>
      <c r="N169" s="24">
        <v>45282</v>
      </c>
      <c r="O169" s="25">
        <f t="shared" si="2"/>
        <v>2023</v>
      </c>
      <c r="P169" s="26" t="s">
        <v>559</v>
      </c>
      <c r="Q169" s="26" t="s">
        <v>26</v>
      </c>
      <c r="R169" s="26" t="s">
        <v>27</v>
      </c>
      <c r="S169" s="26" t="s">
        <v>590</v>
      </c>
      <c r="T169" s="26">
        <v>231574</v>
      </c>
      <c r="U169" s="73"/>
    </row>
    <row r="170" spans="1:21" ht="14" customHeight="1" x14ac:dyDescent="0.35">
      <c r="A170" s="70" t="s">
        <v>594</v>
      </c>
      <c r="B170" s="30" t="s">
        <v>457</v>
      </c>
      <c r="C170" s="30" t="s">
        <v>594</v>
      </c>
      <c r="D170" s="30">
        <v>11203338</v>
      </c>
      <c r="E170" s="30" t="s">
        <v>19</v>
      </c>
      <c r="F170" s="30" t="s">
        <v>20</v>
      </c>
      <c r="G170" s="30" t="s">
        <v>21</v>
      </c>
      <c r="H170" s="30" t="s">
        <v>22</v>
      </c>
      <c r="I170" s="30"/>
      <c r="J170" s="33">
        <v>112750</v>
      </c>
      <c r="K170" s="30">
        <v>225500</v>
      </c>
      <c r="L170" s="54">
        <f>IFERROR('RTK andmebaas'!$J170/'RTK andmebaas'!$K170,"")</f>
        <v>0.5</v>
      </c>
      <c r="M170" s="30" t="s">
        <v>24</v>
      </c>
      <c r="N170" s="19">
        <v>45280</v>
      </c>
      <c r="O170" s="20">
        <f t="shared" si="2"/>
        <v>2023</v>
      </c>
      <c r="P170" s="30" t="s">
        <v>559</v>
      </c>
      <c r="Q170" s="30" t="s">
        <v>26</v>
      </c>
      <c r="R170" s="30" t="s">
        <v>27</v>
      </c>
      <c r="S170" s="30" t="s">
        <v>590</v>
      </c>
      <c r="T170" s="30">
        <v>231574</v>
      </c>
      <c r="U170" s="74"/>
    </row>
    <row r="171" spans="1:21" ht="14" customHeight="1" x14ac:dyDescent="0.35">
      <c r="A171" s="71" t="s">
        <v>595</v>
      </c>
      <c r="B171" s="26" t="s">
        <v>491</v>
      </c>
      <c r="C171" s="26" t="s">
        <v>595</v>
      </c>
      <c r="D171" s="26">
        <v>11707056</v>
      </c>
      <c r="E171" s="26" t="s">
        <v>19</v>
      </c>
      <c r="F171" s="26" t="s">
        <v>93</v>
      </c>
      <c r="G171" s="26" t="s">
        <v>21</v>
      </c>
      <c r="H171" s="26" t="s">
        <v>556</v>
      </c>
      <c r="I171" s="26"/>
      <c r="J171" s="34">
        <v>116700</v>
      </c>
      <c r="K171" s="26">
        <v>389000</v>
      </c>
      <c r="L171" s="55">
        <f>IFERROR('RTK andmebaas'!$J171/'RTK andmebaas'!$K171,"")</f>
        <v>0.3</v>
      </c>
      <c r="M171" s="26" t="s">
        <v>24</v>
      </c>
      <c r="N171" s="24">
        <v>45280</v>
      </c>
      <c r="O171" s="25">
        <f t="shared" si="2"/>
        <v>2023</v>
      </c>
      <c r="P171" s="26" t="s">
        <v>559</v>
      </c>
      <c r="Q171" s="26" t="s">
        <v>26</v>
      </c>
      <c r="R171" s="26" t="s">
        <v>27</v>
      </c>
      <c r="S171" s="26" t="s">
        <v>590</v>
      </c>
      <c r="T171" s="26">
        <v>231574</v>
      </c>
      <c r="U171" s="73"/>
    </row>
    <row r="172" spans="1:21" ht="14" customHeight="1" x14ac:dyDescent="0.35">
      <c r="A172" s="70" t="s">
        <v>596</v>
      </c>
      <c r="B172" s="30" t="s">
        <v>431</v>
      </c>
      <c r="C172" s="30" t="s">
        <v>596</v>
      </c>
      <c r="D172" s="30">
        <v>11306570</v>
      </c>
      <c r="E172" s="30" t="s">
        <v>19</v>
      </c>
      <c r="F172" s="30" t="s">
        <v>93</v>
      </c>
      <c r="G172" s="30" t="s">
        <v>21</v>
      </c>
      <c r="H172" s="30" t="s">
        <v>300</v>
      </c>
      <c r="I172" s="30"/>
      <c r="J172" s="33">
        <v>35762.18</v>
      </c>
      <c r="K172" s="30">
        <v>178810.9</v>
      </c>
      <c r="L172" s="54">
        <f>IFERROR('RTK andmebaas'!$J172/'RTK andmebaas'!$K172,"")</f>
        <v>0.2</v>
      </c>
      <c r="M172" s="30" t="s">
        <v>24</v>
      </c>
      <c r="N172" s="19">
        <v>45278</v>
      </c>
      <c r="O172" s="20">
        <f t="shared" si="2"/>
        <v>2023</v>
      </c>
      <c r="P172" s="30" t="s">
        <v>559</v>
      </c>
      <c r="Q172" s="30" t="s">
        <v>26</v>
      </c>
      <c r="R172" s="30" t="s">
        <v>27</v>
      </c>
      <c r="S172" s="30" t="s">
        <v>590</v>
      </c>
      <c r="T172" s="30">
        <v>231574</v>
      </c>
      <c r="U172" s="74"/>
    </row>
    <row r="173" spans="1:21" ht="14" customHeight="1" x14ac:dyDescent="0.35">
      <c r="A173" s="71" t="s">
        <v>597</v>
      </c>
      <c r="B173" s="26" t="s">
        <v>495</v>
      </c>
      <c r="C173" s="26" t="s">
        <v>597</v>
      </c>
      <c r="D173" s="26">
        <v>10770584</v>
      </c>
      <c r="E173" s="26" t="s">
        <v>19</v>
      </c>
      <c r="F173" s="26" t="s">
        <v>35</v>
      </c>
      <c r="G173" s="26" t="s">
        <v>21</v>
      </c>
      <c r="H173" s="26" t="s">
        <v>101</v>
      </c>
      <c r="I173" s="26"/>
      <c r="J173" s="34">
        <v>72800</v>
      </c>
      <c r="K173" s="26">
        <v>182000</v>
      </c>
      <c r="L173" s="55">
        <f>IFERROR('RTK andmebaas'!$J173/'RTK andmebaas'!$K173,"")</f>
        <v>0.4</v>
      </c>
      <c r="M173" s="26" t="s">
        <v>24</v>
      </c>
      <c r="N173" s="24">
        <v>45273</v>
      </c>
      <c r="O173" s="25">
        <f t="shared" si="2"/>
        <v>2023</v>
      </c>
      <c r="P173" s="26" t="s">
        <v>559</v>
      </c>
      <c r="Q173" s="26" t="s">
        <v>26</v>
      </c>
      <c r="R173" s="26" t="s">
        <v>27</v>
      </c>
      <c r="S173" s="26" t="s">
        <v>590</v>
      </c>
      <c r="T173" s="26">
        <v>231574</v>
      </c>
      <c r="U173" s="73"/>
    </row>
    <row r="174" spans="1:21" ht="14" customHeight="1" x14ac:dyDescent="0.35">
      <c r="A174" s="70" t="s">
        <v>598</v>
      </c>
      <c r="B174" s="30" t="s">
        <v>514</v>
      </c>
      <c r="C174" s="30" t="s">
        <v>598</v>
      </c>
      <c r="D174" s="30">
        <v>12360784</v>
      </c>
      <c r="E174" s="30" t="s">
        <v>19</v>
      </c>
      <c r="F174" s="30" t="s">
        <v>35</v>
      </c>
      <c r="G174" s="30" t="s">
        <v>21</v>
      </c>
      <c r="H174" s="30" t="s">
        <v>101</v>
      </c>
      <c r="I174" s="30"/>
      <c r="J174" s="33">
        <v>59200</v>
      </c>
      <c r="K174" s="30">
        <v>148000</v>
      </c>
      <c r="L174" s="54">
        <f>IFERROR('RTK andmebaas'!$J174/'RTK andmebaas'!$K174,"")</f>
        <v>0.4</v>
      </c>
      <c r="M174" s="30" t="s">
        <v>24</v>
      </c>
      <c r="N174" s="19">
        <v>45273</v>
      </c>
      <c r="O174" s="20">
        <f t="shared" si="2"/>
        <v>2023</v>
      </c>
      <c r="P174" s="30" t="s">
        <v>559</v>
      </c>
      <c r="Q174" s="30" t="s">
        <v>26</v>
      </c>
      <c r="R174" s="30" t="s">
        <v>27</v>
      </c>
      <c r="S174" s="30" t="s">
        <v>590</v>
      </c>
      <c r="T174" s="30">
        <v>231574</v>
      </c>
      <c r="U174" s="74"/>
    </row>
    <row r="175" spans="1:21" ht="14" customHeight="1" x14ac:dyDescent="0.35">
      <c r="A175" s="71" t="s">
        <v>599</v>
      </c>
      <c r="B175" s="26" t="s">
        <v>349</v>
      </c>
      <c r="C175" s="26" t="s">
        <v>599</v>
      </c>
      <c r="D175" s="26">
        <v>10060658</v>
      </c>
      <c r="E175" s="26" t="s">
        <v>19</v>
      </c>
      <c r="F175" s="26" t="s">
        <v>35</v>
      </c>
      <c r="G175" s="26" t="s">
        <v>21</v>
      </c>
      <c r="H175" s="26" t="s">
        <v>32</v>
      </c>
      <c r="I175" s="26"/>
      <c r="J175" s="34">
        <v>94484.1</v>
      </c>
      <c r="K175" s="26">
        <v>314947</v>
      </c>
      <c r="L175" s="55">
        <f>IFERROR('RTK andmebaas'!$J175/'RTK andmebaas'!$K175,"")</f>
        <v>0.30000000000000004</v>
      </c>
      <c r="M175" s="26" t="s">
        <v>24</v>
      </c>
      <c r="N175" s="35">
        <v>45267</v>
      </c>
      <c r="O175" s="25">
        <f t="shared" si="2"/>
        <v>2023</v>
      </c>
      <c r="P175" s="26" t="s">
        <v>559</v>
      </c>
      <c r="Q175" s="26" t="s">
        <v>26</v>
      </c>
      <c r="R175" s="26" t="s">
        <v>27</v>
      </c>
      <c r="S175" s="26" t="s">
        <v>590</v>
      </c>
      <c r="T175" s="26">
        <v>231574</v>
      </c>
      <c r="U175" s="73"/>
    </row>
    <row r="176" spans="1:21" ht="14" customHeight="1" x14ac:dyDescent="0.35">
      <c r="A176" s="70" t="s">
        <v>600</v>
      </c>
      <c r="B176" s="30" t="s">
        <v>542</v>
      </c>
      <c r="C176" s="30" t="s">
        <v>600</v>
      </c>
      <c r="D176" s="30">
        <v>10104002</v>
      </c>
      <c r="E176" s="30" t="s">
        <v>19</v>
      </c>
      <c r="F176" s="30" t="s">
        <v>35</v>
      </c>
      <c r="G176" s="30" t="s">
        <v>21</v>
      </c>
      <c r="H176" s="30" t="s">
        <v>553</v>
      </c>
      <c r="I176" s="30"/>
      <c r="J176" s="33">
        <v>360000</v>
      </c>
      <c r="K176" s="30">
        <v>900000</v>
      </c>
      <c r="L176" s="54">
        <f>IFERROR('RTK andmebaas'!$J176/'RTK andmebaas'!$K176,"")</f>
        <v>0.4</v>
      </c>
      <c r="M176" s="30" t="s">
        <v>24</v>
      </c>
      <c r="N176" s="36">
        <v>45267</v>
      </c>
      <c r="O176" s="20">
        <f t="shared" si="2"/>
        <v>2023</v>
      </c>
      <c r="P176" s="30" t="s">
        <v>559</v>
      </c>
      <c r="Q176" s="30" t="s">
        <v>26</v>
      </c>
      <c r="R176" s="30" t="s">
        <v>27</v>
      </c>
      <c r="S176" s="30" t="s">
        <v>590</v>
      </c>
      <c r="T176" s="30">
        <v>231574</v>
      </c>
      <c r="U176" s="74"/>
    </row>
    <row r="177" spans="1:21" ht="14" customHeight="1" x14ac:dyDescent="0.35">
      <c r="A177" s="71" t="s">
        <v>601</v>
      </c>
      <c r="B177" s="26" t="s">
        <v>505</v>
      </c>
      <c r="C177" s="26" t="s">
        <v>601</v>
      </c>
      <c r="D177" s="26">
        <v>10842489</v>
      </c>
      <c r="E177" s="26" t="s">
        <v>19</v>
      </c>
      <c r="F177" s="26" t="s">
        <v>35</v>
      </c>
      <c r="G177" s="26" t="s">
        <v>21</v>
      </c>
      <c r="H177" s="26" t="s">
        <v>87</v>
      </c>
      <c r="I177" s="26"/>
      <c r="J177" s="34">
        <v>132000</v>
      </c>
      <c r="K177" s="26">
        <v>330000</v>
      </c>
      <c r="L177" s="55">
        <f>IFERROR('RTK andmebaas'!$J177/'RTK andmebaas'!$K177,"")</f>
        <v>0.4</v>
      </c>
      <c r="M177" s="26" t="s">
        <v>24</v>
      </c>
      <c r="N177" s="35">
        <v>45254</v>
      </c>
      <c r="O177" s="25">
        <f t="shared" si="2"/>
        <v>2023</v>
      </c>
      <c r="P177" s="26" t="s">
        <v>559</v>
      </c>
      <c r="Q177" s="26" t="s">
        <v>26</v>
      </c>
      <c r="R177" s="26" t="s">
        <v>27</v>
      </c>
      <c r="S177" s="26" t="s">
        <v>590</v>
      </c>
      <c r="T177" s="26">
        <v>231574</v>
      </c>
      <c r="U177" s="73"/>
    </row>
    <row r="178" spans="1:21" ht="14" customHeight="1" x14ac:dyDescent="0.35">
      <c r="A178" s="70" t="s">
        <v>602</v>
      </c>
      <c r="B178" s="30" t="s">
        <v>534</v>
      </c>
      <c r="C178" s="30" t="s">
        <v>602</v>
      </c>
      <c r="D178" s="30">
        <v>10019070</v>
      </c>
      <c r="E178" s="30" t="s">
        <v>19</v>
      </c>
      <c r="F178" s="30" t="s">
        <v>35</v>
      </c>
      <c r="G178" s="30" t="s">
        <v>21</v>
      </c>
      <c r="H178" s="30" t="s">
        <v>47</v>
      </c>
      <c r="I178" s="30"/>
      <c r="J178" s="33">
        <v>84000</v>
      </c>
      <c r="K178" s="30">
        <v>210000</v>
      </c>
      <c r="L178" s="54">
        <f>IFERROR('RTK andmebaas'!$J178/'RTK andmebaas'!$K178,"")</f>
        <v>0.4</v>
      </c>
      <c r="M178" s="30" t="s">
        <v>24</v>
      </c>
      <c r="N178" s="36">
        <v>45254</v>
      </c>
      <c r="O178" s="20">
        <f t="shared" si="2"/>
        <v>2023</v>
      </c>
      <c r="P178" s="30" t="s">
        <v>559</v>
      </c>
      <c r="Q178" s="30" t="s">
        <v>26</v>
      </c>
      <c r="R178" s="30" t="s">
        <v>27</v>
      </c>
      <c r="S178" s="30" t="s">
        <v>590</v>
      </c>
      <c r="T178" s="30">
        <v>231574</v>
      </c>
      <c r="U178" s="74"/>
    </row>
    <row r="179" spans="1:21" ht="14" customHeight="1" x14ac:dyDescent="0.35">
      <c r="A179" s="71" t="s">
        <v>603</v>
      </c>
      <c r="B179" s="26" t="s">
        <v>479</v>
      </c>
      <c r="C179" s="58" t="s">
        <v>603</v>
      </c>
      <c r="D179" s="26">
        <v>10548087</v>
      </c>
      <c r="E179" s="26" t="s">
        <v>19</v>
      </c>
      <c r="F179" s="26" t="s">
        <v>35</v>
      </c>
      <c r="G179" s="26" t="s">
        <v>21</v>
      </c>
      <c r="H179" s="26" t="s">
        <v>101</v>
      </c>
      <c r="I179" s="26"/>
      <c r="J179" s="34">
        <v>128000</v>
      </c>
      <c r="K179" s="26">
        <v>320000</v>
      </c>
      <c r="L179" s="55">
        <f>IFERROR('RTK andmebaas'!$J179/'RTK andmebaas'!$K179,"")</f>
        <v>0.4</v>
      </c>
      <c r="M179" s="26" t="s">
        <v>24</v>
      </c>
      <c r="N179" s="35">
        <v>45245</v>
      </c>
      <c r="O179" s="25">
        <f t="shared" si="2"/>
        <v>2023</v>
      </c>
      <c r="P179" s="26" t="s">
        <v>559</v>
      </c>
      <c r="Q179" s="26" t="s">
        <v>26</v>
      </c>
      <c r="R179" s="26" t="s">
        <v>27</v>
      </c>
      <c r="S179" s="26" t="s">
        <v>590</v>
      </c>
      <c r="T179" s="26">
        <v>231574</v>
      </c>
      <c r="U179" s="73"/>
    </row>
    <row r="180" spans="1:21" ht="14" customHeight="1" x14ac:dyDescent="0.35">
      <c r="A180" s="70" t="s">
        <v>604</v>
      </c>
      <c r="B180" s="30" t="s">
        <v>379</v>
      </c>
      <c r="C180" s="30" t="s">
        <v>604</v>
      </c>
      <c r="D180" s="30">
        <v>10301984</v>
      </c>
      <c r="E180" s="30" t="s">
        <v>19</v>
      </c>
      <c r="F180" s="30" t="s">
        <v>93</v>
      </c>
      <c r="G180" s="30" t="s">
        <v>21</v>
      </c>
      <c r="H180" s="30" t="s">
        <v>47</v>
      </c>
      <c r="I180" s="30"/>
      <c r="J180" s="33">
        <v>217500</v>
      </c>
      <c r="K180" s="30">
        <v>725000</v>
      </c>
      <c r="L180" s="54">
        <f>IFERROR('RTK andmebaas'!$J180/'RTK andmebaas'!$K180,"")</f>
        <v>0.3</v>
      </c>
      <c r="M180" s="30" t="s">
        <v>24</v>
      </c>
      <c r="N180" s="36">
        <v>45233</v>
      </c>
      <c r="O180" s="20">
        <f t="shared" si="2"/>
        <v>2023</v>
      </c>
      <c r="P180" s="30" t="s">
        <v>559</v>
      </c>
      <c r="Q180" s="30" t="s">
        <v>26</v>
      </c>
      <c r="R180" s="30" t="s">
        <v>27</v>
      </c>
      <c r="S180" s="30" t="s">
        <v>590</v>
      </c>
      <c r="T180" s="30">
        <v>231574</v>
      </c>
      <c r="U180" s="74"/>
    </row>
    <row r="181" spans="1:21" ht="14" customHeight="1" x14ac:dyDescent="0.35">
      <c r="A181" s="71" t="s">
        <v>605</v>
      </c>
      <c r="B181" s="26" t="s">
        <v>374</v>
      </c>
      <c r="C181" s="26" t="s">
        <v>605</v>
      </c>
      <c r="D181" s="26">
        <v>12519842</v>
      </c>
      <c r="E181" s="26" t="s">
        <v>19</v>
      </c>
      <c r="F181" s="26" t="s">
        <v>35</v>
      </c>
      <c r="G181" s="26" t="s">
        <v>21</v>
      </c>
      <c r="H181" s="26" t="s">
        <v>47</v>
      </c>
      <c r="I181" s="26"/>
      <c r="J181" s="34">
        <v>500000</v>
      </c>
      <c r="K181" s="26">
        <v>1250000</v>
      </c>
      <c r="L181" s="55">
        <f>IFERROR('RTK andmebaas'!$J181/'RTK andmebaas'!$K181,"")</f>
        <v>0.4</v>
      </c>
      <c r="M181" s="26" t="s">
        <v>24</v>
      </c>
      <c r="N181" s="35">
        <v>45233</v>
      </c>
      <c r="O181" s="25">
        <f t="shared" si="2"/>
        <v>2023</v>
      </c>
      <c r="P181" s="26" t="s">
        <v>559</v>
      </c>
      <c r="Q181" s="26" t="s">
        <v>26</v>
      </c>
      <c r="R181" s="26" t="s">
        <v>27</v>
      </c>
      <c r="S181" s="26" t="s">
        <v>590</v>
      </c>
      <c r="T181" s="26">
        <v>231574</v>
      </c>
      <c r="U181" s="73"/>
    </row>
    <row r="182" spans="1:21" ht="14" customHeight="1" x14ac:dyDescent="0.35">
      <c r="A182" s="70" t="s">
        <v>606</v>
      </c>
      <c r="B182" s="30" t="s">
        <v>467</v>
      </c>
      <c r="C182" s="30" t="s">
        <v>606</v>
      </c>
      <c r="D182" s="30">
        <v>10626249</v>
      </c>
      <c r="E182" s="30" t="s">
        <v>19</v>
      </c>
      <c r="F182" s="30" t="s">
        <v>35</v>
      </c>
      <c r="G182" s="30" t="s">
        <v>21</v>
      </c>
      <c r="H182" s="30" t="s">
        <v>47</v>
      </c>
      <c r="I182" s="30"/>
      <c r="J182" s="33">
        <v>404427.2</v>
      </c>
      <c r="K182" s="30">
        <v>1011068</v>
      </c>
      <c r="L182" s="54">
        <f>IFERROR('RTK andmebaas'!$J182/'RTK andmebaas'!$K182,"")</f>
        <v>0.4</v>
      </c>
      <c r="M182" s="30" t="s">
        <v>24</v>
      </c>
      <c r="N182" s="36">
        <v>45224</v>
      </c>
      <c r="O182" s="20">
        <f t="shared" si="2"/>
        <v>2023</v>
      </c>
      <c r="P182" s="30" t="s">
        <v>559</v>
      </c>
      <c r="Q182" s="30" t="s">
        <v>26</v>
      </c>
      <c r="R182" s="30" t="s">
        <v>27</v>
      </c>
      <c r="S182" s="30" t="s">
        <v>590</v>
      </c>
      <c r="T182" s="30">
        <v>231574</v>
      </c>
      <c r="U182" s="74"/>
    </row>
    <row r="183" spans="1:21" ht="14" customHeight="1" x14ac:dyDescent="0.35">
      <c r="A183" s="72" t="s">
        <v>607</v>
      </c>
      <c r="B183" s="37" t="s">
        <v>406</v>
      </c>
      <c r="C183" s="37" t="s">
        <v>607</v>
      </c>
      <c r="D183" s="37">
        <v>14301076</v>
      </c>
      <c r="E183" s="37" t="s">
        <v>19</v>
      </c>
      <c r="F183" s="37" t="s">
        <v>93</v>
      </c>
      <c r="G183" s="37" t="s">
        <v>21</v>
      </c>
      <c r="H183" s="37" t="s">
        <v>101</v>
      </c>
      <c r="I183" s="37"/>
      <c r="J183" s="38">
        <v>210000</v>
      </c>
      <c r="K183" s="37">
        <v>700000</v>
      </c>
      <c r="L183" s="56">
        <f>IFERROR('RTK andmebaas'!$J183/'RTK andmebaas'!$K183,"")</f>
        <v>0.3</v>
      </c>
      <c r="M183" s="37" t="s">
        <v>24</v>
      </c>
      <c r="N183" s="39">
        <v>45200</v>
      </c>
      <c r="O183" s="40">
        <f t="shared" si="2"/>
        <v>2023</v>
      </c>
      <c r="P183" s="37" t="s">
        <v>559</v>
      </c>
      <c r="Q183" s="37" t="s">
        <v>26</v>
      </c>
      <c r="R183" s="37" t="s">
        <v>27</v>
      </c>
      <c r="S183" s="37" t="s">
        <v>590</v>
      </c>
      <c r="T183" s="37">
        <v>231574</v>
      </c>
      <c r="U183" s="75"/>
    </row>
    <row r="184" spans="1:21" ht="14" customHeight="1" x14ac:dyDescent="0.35">
      <c r="J184" s="41"/>
      <c r="K184" s="41"/>
      <c r="L184" s="41"/>
    </row>
    <row r="185" spans="1:21" ht="14" customHeight="1" x14ac:dyDescent="0.35">
      <c r="J185" s="41"/>
      <c r="K185" s="41"/>
    </row>
    <row r="187" spans="1:21" ht="14" customHeight="1" x14ac:dyDescent="0.35">
      <c r="J187" s="43"/>
      <c r="K187" s="43"/>
      <c r="L187" s="43"/>
    </row>
  </sheetData>
  <conditionalFormatting sqref="J2:J183">
    <cfRule type="dataBar" priority="1">
      <dataBar>
        <cfvo type="min"/>
        <cfvo type="max"/>
        <color theme="7" tint="0.79998168889431442"/>
      </dataBar>
      <extLst>
        <ext xmlns:x14="http://schemas.microsoft.com/office/spreadsheetml/2009/9/main" uri="{B025F937-C7B1-47D3-B67F-A62EFF666E3E}">
          <x14:id>{A57B4DF1-911E-44A0-B90D-EC9B0D1925A4}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57B4DF1-911E-44A0-B90D-EC9B0D1925A4}">
            <x14:dataBar minLength="0" maxLength="100" border="1" gradient="0">
              <x14:cfvo type="autoMin"/>
              <x14:cfvo type="autoMax"/>
              <x14:borderColor theme="4" tint="-0.249977111117893"/>
              <x14:negativeFillColor rgb="FFFF0000"/>
              <x14:axisColor rgb="FF000000"/>
            </x14:dataBar>
          </x14:cfRule>
          <xm:sqref>J2:J183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52CA9-5C99-484A-8365-5879CCAB85AA}">
  <dimension ref="A1:J169"/>
  <sheetViews>
    <sheetView zoomScale="86" zoomScaleNormal="86" workbookViewId="0">
      <selection activeCell="C31" sqref="C31"/>
    </sheetView>
  </sheetViews>
  <sheetFormatPr defaultColWidth="8.81640625" defaultRowHeight="14.5" x14ac:dyDescent="0.35"/>
  <cols>
    <col min="1" max="1" width="36.81640625" style="1" bestFit="1" customWidth="1"/>
    <col min="2" max="2" width="22.54296875" style="1" customWidth="1"/>
    <col min="3" max="3" width="74.81640625" style="1" customWidth="1"/>
    <col min="4" max="4" width="24.81640625" style="1" bestFit="1" customWidth="1"/>
    <col min="5" max="5" width="28.08984375" style="1" bestFit="1" customWidth="1"/>
    <col min="6" max="6" width="28.08984375" style="51" bestFit="1" customWidth="1"/>
    <col min="7" max="7" width="40" style="1" bestFit="1" customWidth="1"/>
    <col min="8" max="8" width="42.453125" style="1" bestFit="1" customWidth="1"/>
    <col min="9" max="9" width="17.54296875" style="1" bestFit="1" customWidth="1"/>
    <col min="10" max="10" width="15.54296875" style="1" bestFit="1" customWidth="1"/>
    <col min="11" max="16384" width="8.81640625" style="1"/>
  </cols>
  <sheetData>
    <row r="1" spans="1:10" x14ac:dyDescent="0.35">
      <c r="A1" s="8" t="s">
        <v>327</v>
      </c>
      <c r="B1" s="9" t="s">
        <v>328</v>
      </c>
      <c r="C1" s="9" t="s">
        <v>329</v>
      </c>
      <c r="D1" s="9" t="s">
        <v>330</v>
      </c>
      <c r="E1" s="9" t="s">
        <v>331</v>
      </c>
      <c r="F1" s="48" t="s">
        <v>649</v>
      </c>
      <c r="G1" s="9" t="s">
        <v>332</v>
      </c>
      <c r="H1" s="9" t="s">
        <v>333</v>
      </c>
      <c r="I1" s="9" t="s">
        <v>334</v>
      </c>
      <c r="J1" s="10" t="s">
        <v>614</v>
      </c>
    </row>
    <row r="2" spans="1:10" x14ac:dyDescent="0.35">
      <c r="A2" s="11" t="s">
        <v>258</v>
      </c>
      <c r="B2" s="4">
        <v>12970040</v>
      </c>
      <c r="C2" s="4" t="s">
        <v>335</v>
      </c>
      <c r="D2" s="4">
        <v>30726.400000000001</v>
      </c>
      <c r="E2" s="4">
        <v>76816</v>
      </c>
      <c r="F2" s="47">
        <f>D2/E2</f>
        <v>0.4</v>
      </c>
      <c r="G2" s="4" t="s">
        <v>336</v>
      </c>
      <c r="H2" s="4" t="s">
        <v>337</v>
      </c>
      <c r="I2" s="4">
        <v>2024</v>
      </c>
      <c r="J2" s="12" t="s">
        <v>257</v>
      </c>
    </row>
    <row r="3" spans="1:10" x14ac:dyDescent="0.35">
      <c r="A3" s="13" t="s">
        <v>245</v>
      </c>
      <c r="B3" s="5">
        <v>10270580</v>
      </c>
      <c r="C3" s="5" t="s">
        <v>338</v>
      </c>
      <c r="D3" s="5">
        <v>20400</v>
      </c>
      <c r="E3" s="5">
        <v>68000</v>
      </c>
      <c r="F3" s="49">
        <f t="shared" ref="F3:F66" si="0">D3/E3</f>
        <v>0.3</v>
      </c>
      <c r="G3" s="5" t="s">
        <v>336</v>
      </c>
      <c r="H3" s="5" t="s">
        <v>337</v>
      </c>
      <c r="I3" s="5">
        <v>2024</v>
      </c>
      <c r="J3" s="7" t="s">
        <v>244</v>
      </c>
    </row>
    <row r="4" spans="1:10" x14ac:dyDescent="0.35">
      <c r="A4" s="11" t="s">
        <v>146</v>
      </c>
      <c r="B4" s="4">
        <v>10176674</v>
      </c>
      <c r="C4" s="4" t="s">
        <v>339</v>
      </c>
      <c r="D4" s="4">
        <v>100061.5</v>
      </c>
      <c r="E4" s="4">
        <v>142945</v>
      </c>
      <c r="F4" s="47">
        <f t="shared" si="0"/>
        <v>0.7</v>
      </c>
      <c r="G4" s="4" t="s">
        <v>336</v>
      </c>
      <c r="H4" s="4" t="s">
        <v>337</v>
      </c>
      <c r="I4" s="4">
        <v>2025</v>
      </c>
      <c r="J4" s="12" t="s">
        <v>145</v>
      </c>
    </row>
    <row r="5" spans="1:10" x14ac:dyDescent="0.35">
      <c r="A5" s="13" t="s">
        <v>164</v>
      </c>
      <c r="B5" s="5">
        <v>10004973</v>
      </c>
      <c r="C5" s="5" t="s">
        <v>369</v>
      </c>
      <c r="D5" s="5">
        <v>7500</v>
      </c>
      <c r="E5" s="5">
        <v>25000</v>
      </c>
      <c r="F5" s="49">
        <f t="shared" si="0"/>
        <v>0.3</v>
      </c>
      <c r="G5" s="5" t="s">
        <v>336</v>
      </c>
      <c r="H5" s="5" t="s">
        <v>337</v>
      </c>
      <c r="I5" s="5">
        <v>2024</v>
      </c>
      <c r="J5" s="14" t="s">
        <v>617</v>
      </c>
    </row>
    <row r="6" spans="1:10" x14ac:dyDescent="0.35">
      <c r="A6" s="11" t="s">
        <v>59</v>
      </c>
      <c r="B6" s="4">
        <v>10274158</v>
      </c>
      <c r="C6" s="4" t="s">
        <v>341</v>
      </c>
      <c r="D6" s="4">
        <v>68857.600000000006</v>
      </c>
      <c r="E6" s="4">
        <v>98368</v>
      </c>
      <c r="F6" s="47">
        <f t="shared" si="0"/>
        <v>0.70000000000000007</v>
      </c>
      <c r="G6" s="4" t="s">
        <v>336</v>
      </c>
      <c r="H6" s="4" t="s">
        <v>337</v>
      </c>
      <c r="I6" s="4">
        <v>2025</v>
      </c>
      <c r="J6" s="12" t="s">
        <v>58</v>
      </c>
    </row>
    <row r="7" spans="1:10" x14ac:dyDescent="0.35">
      <c r="A7" s="13" t="s">
        <v>184</v>
      </c>
      <c r="B7" s="5">
        <v>10086633</v>
      </c>
      <c r="C7" s="5" t="s">
        <v>342</v>
      </c>
      <c r="D7" s="5">
        <v>18959</v>
      </c>
      <c r="E7" s="5">
        <v>37918</v>
      </c>
      <c r="F7" s="49">
        <f t="shared" si="0"/>
        <v>0.5</v>
      </c>
      <c r="G7" s="5" t="s">
        <v>336</v>
      </c>
      <c r="H7" s="5" t="s">
        <v>337</v>
      </c>
      <c r="I7" s="5">
        <v>2023</v>
      </c>
      <c r="J7" s="7" t="s">
        <v>309</v>
      </c>
    </row>
    <row r="8" spans="1:10" x14ac:dyDescent="0.35">
      <c r="A8" s="11" t="s">
        <v>184</v>
      </c>
      <c r="B8" s="4">
        <v>10086633</v>
      </c>
      <c r="C8" s="4" t="s">
        <v>343</v>
      </c>
      <c r="D8" s="4">
        <v>40340.78</v>
      </c>
      <c r="E8" s="4">
        <v>80681.55</v>
      </c>
      <c r="F8" s="47">
        <f t="shared" si="0"/>
        <v>0.50000006197203695</v>
      </c>
      <c r="G8" s="4" t="s">
        <v>336</v>
      </c>
      <c r="H8" s="4" t="s">
        <v>337</v>
      </c>
      <c r="I8" s="4">
        <v>2024</v>
      </c>
      <c r="J8" s="12" t="s">
        <v>571</v>
      </c>
    </row>
    <row r="9" spans="1:10" x14ac:dyDescent="0.35">
      <c r="A9" s="13" t="s">
        <v>184</v>
      </c>
      <c r="B9" s="5">
        <v>10086633</v>
      </c>
      <c r="C9" s="5" t="s">
        <v>344</v>
      </c>
      <c r="D9" s="5">
        <v>49895</v>
      </c>
      <c r="E9" s="5">
        <v>99790</v>
      </c>
      <c r="F9" s="49">
        <f t="shared" si="0"/>
        <v>0.5</v>
      </c>
      <c r="G9" s="5" t="s">
        <v>336</v>
      </c>
      <c r="H9" s="5" t="s">
        <v>337</v>
      </c>
      <c r="I9" s="5">
        <v>2024</v>
      </c>
      <c r="J9" s="7" t="s">
        <v>183</v>
      </c>
    </row>
    <row r="10" spans="1:10" x14ac:dyDescent="0.35">
      <c r="A10" s="11" t="s">
        <v>323</v>
      </c>
      <c r="B10" s="4">
        <v>10131803</v>
      </c>
      <c r="C10" s="4" t="s">
        <v>345</v>
      </c>
      <c r="D10" s="4">
        <v>248685.3</v>
      </c>
      <c r="E10" s="4">
        <v>581943</v>
      </c>
      <c r="F10" s="47">
        <f t="shared" si="0"/>
        <v>0.4273361824096174</v>
      </c>
      <c r="G10" s="4" t="s">
        <v>336</v>
      </c>
      <c r="H10" s="4" t="s">
        <v>337</v>
      </c>
      <c r="I10" s="4">
        <v>2025</v>
      </c>
      <c r="J10" s="12" t="s">
        <v>322</v>
      </c>
    </row>
    <row r="11" spans="1:10" x14ac:dyDescent="0.35">
      <c r="A11" s="13" t="s">
        <v>89</v>
      </c>
      <c r="B11" s="5">
        <v>10097905</v>
      </c>
      <c r="C11" s="5" t="s">
        <v>346</v>
      </c>
      <c r="D11" s="5">
        <v>59610</v>
      </c>
      <c r="E11" s="5">
        <v>119220</v>
      </c>
      <c r="F11" s="49">
        <f t="shared" si="0"/>
        <v>0.5</v>
      </c>
      <c r="G11" s="5" t="s">
        <v>336</v>
      </c>
      <c r="H11" s="5" t="s">
        <v>337</v>
      </c>
      <c r="I11" s="5">
        <v>2025</v>
      </c>
      <c r="J11" s="7" t="s">
        <v>88</v>
      </c>
    </row>
    <row r="12" spans="1:10" x14ac:dyDescent="0.35">
      <c r="A12" s="11" t="s">
        <v>114</v>
      </c>
      <c r="B12" s="4">
        <v>10084848</v>
      </c>
      <c r="C12" s="4" t="s">
        <v>347</v>
      </c>
      <c r="D12" s="4">
        <v>53580.02</v>
      </c>
      <c r="E12" s="4">
        <v>76542.880000000005</v>
      </c>
      <c r="F12" s="47">
        <f t="shared" si="0"/>
        <v>0.70000005225828965</v>
      </c>
      <c r="G12" s="4" t="s">
        <v>336</v>
      </c>
      <c r="H12" s="4" t="s">
        <v>337</v>
      </c>
      <c r="I12" s="4">
        <v>2025</v>
      </c>
      <c r="J12" s="12" t="s">
        <v>113</v>
      </c>
    </row>
    <row r="13" spans="1:10" x14ac:dyDescent="0.35">
      <c r="A13" s="13" t="s">
        <v>321</v>
      </c>
      <c r="B13" s="5">
        <v>10047497</v>
      </c>
      <c r="C13" s="5" t="s">
        <v>348</v>
      </c>
      <c r="D13" s="5">
        <v>80458.2</v>
      </c>
      <c r="E13" s="5">
        <v>268194</v>
      </c>
      <c r="F13" s="49">
        <f t="shared" si="0"/>
        <v>0.3</v>
      </c>
      <c r="G13" s="5" t="s">
        <v>336</v>
      </c>
      <c r="H13" s="5" t="s">
        <v>337</v>
      </c>
      <c r="I13" s="5">
        <v>2025</v>
      </c>
      <c r="J13" s="7" t="s">
        <v>320</v>
      </c>
    </row>
    <row r="14" spans="1:10" x14ac:dyDescent="0.35">
      <c r="A14" s="11" t="s">
        <v>349</v>
      </c>
      <c r="B14" s="4">
        <v>10060658</v>
      </c>
      <c r="C14" s="4" t="s">
        <v>350</v>
      </c>
      <c r="D14" s="4">
        <v>94484.1</v>
      </c>
      <c r="E14" s="4">
        <v>314947</v>
      </c>
      <c r="F14" s="47">
        <f t="shared" si="0"/>
        <v>0.30000000000000004</v>
      </c>
      <c r="G14" s="4" t="s">
        <v>336</v>
      </c>
      <c r="H14" s="4" t="s">
        <v>337</v>
      </c>
      <c r="I14" s="4">
        <v>2023</v>
      </c>
      <c r="J14" s="12" t="s">
        <v>599</v>
      </c>
    </row>
    <row r="15" spans="1:10" x14ac:dyDescent="0.35">
      <c r="A15" s="13" t="s">
        <v>349</v>
      </c>
      <c r="B15" s="5">
        <v>10060658</v>
      </c>
      <c r="C15" s="5" t="s">
        <v>351</v>
      </c>
      <c r="D15" s="5">
        <v>72651</v>
      </c>
      <c r="E15" s="5">
        <v>242170</v>
      </c>
      <c r="F15" s="49">
        <f t="shared" si="0"/>
        <v>0.3</v>
      </c>
      <c r="G15" s="5" t="s">
        <v>336</v>
      </c>
      <c r="H15" s="5" t="s">
        <v>337</v>
      </c>
      <c r="I15" s="5">
        <v>2024</v>
      </c>
      <c r="J15" s="7" t="s">
        <v>578</v>
      </c>
    </row>
    <row r="16" spans="1:10" x14ac:dyDescent="0.35">
      <c r="A16" s="11" t="s">
        <v>224</v>
      </c>
      <c r="B16" s="4">
        <v>10228767</v>
      </c>
      <c r="C16" s="4" t="s">
        <v>352</v>
      </c>
      <c r="D16" s="4">
        <v>15032</v>
      </c>
      <c r="E16" s="4">
        <v>37580</v>
      </c>
      <c r="F16" s="47">
        <f t="shared" si="0"/>
        <v>0.4</v>
      </c>
      <c r="G16" s="4" t="s">
        <v>336</v>
      </c>
      <c r="H16" s="4" t="s">
        <v>337</v>
      </c>
      <c r="I16" s="4">
        <v>2024</v>
      </c>
      <c r="J16" s="12" t="s">
        <v>223</v>
      </c>
    </row>
    <row r="17" spans="1:10" x14ac:dyDescent="0.35">
      <c r="A17" s="13" t="s">
        <v>353</v>
      </c>
      <c r="B17" s="5">
        <v>10400775</v>
      </c>
      <c r="C17" s="5" t="s">
        <v>354</v>
      </c>
      <c r="D17" s="5">
        <v>50000</v>
      </c>
      <c r="E17" s="5">
        <v>125000</v>
      </c>
      <c r="F17" s="49">
        <f t="shared" si="0"/>
        <v>0.4</v>
      </c>
      <c r="G17" s="5" t="s">
        <v>336</v>
      </c>
      <c r="H17" s="5" t="s">
        <v>337</v>
      </c>
      <c r="I17" s="5">
        <v>2024</v>
      </c>
      <c r="J17" s="7" t="s">
        <v>568</v>
      </c>
    </row>
    <row r="18" spans="1:10" x14ac:dyDescent="0.35">
      <c r="A18" s="11" t="s">
        <v>83</v>
      </c>
      <c r="B18" s="4">
        <v>10053718</v>
      </c>
      <c r="C18" s="4" t="s">
        <v>355</v>
      </c>
      <c r="D18" s="4">
        <v>229800</v>
      </c>
      <c r="E18" s="4">
        <v>383000</v>
      </c>
      <c r="F18" s="47">
        <f t="shared" si="0"/>
        <v>0.6</v>
      </c>
      <c r="G18" s="4" t="s">
        <v>336</v>
      </c>
      <c r="H18" s="4" t="s">
        <v>337</v>
      </c>
      <c r="I18" s="4">
        <v>2025</v>
      </c>
      <c r="J18" s="12" t="s">
        <v>82</v>
      </c>
    </row>
    <row r="19" spans="1:10" x14ac:dyDescent="0.35">
      <c r="A19" s="13" t="s">
        <v>356</v>
      </c>
      <c r="B19" s="5">
        <v>10149335</v>
      </c>
      <c r="C19" s="5" t="s">
        <v>357</v>
      </c>
      <c r="D19" s="5">
        <v>148667.46</v>
      </c>
      <c r="E19" s="5">
        <v>495558.2</v>
      </c>
      <c r="F19" s="49">
        <f t="shared" si="0"/>
        <v>0.3</v>
      </c>
      <c r="G19" s="5" t="s">
        <v>336</v>
      </c>
      <c r="H19" s="5" t="s">
        <v>337</v>
      </c>
      <c r="I19" s="5">
        <v>2024</v>
      </c>
      <c r="J19" s="7" t="s">
        <v>587</v>
      </c>
    </row>
    <row r="20" spans="1:10" x14ac:dyDescent="0.35">
      <c r="A20" s="11" t="s">
        <v>358</v>
      </c>
      <c r="B20" s="4">
        <v>10149813</v>
      </c>
      <c r="C20" s="4" t="s">
        <v>359</v>
      </c>
      <c r="D20" s="4">
        <v>274000</v>
      </c>
      <c r="E20" s="4">
        <v>685000</v>
      </c>
      <c r="F20" s="47">
        <f t="shared" si="0"/>
        <v>0.4</v>
      </c>
      <c r="G20" s="4" t="s">
        <v>336</v>
      </c>
      <c r="H20" s="4" t="s">
        <v>337</v>
      </c>
      <c r="I20" s="4">
        <v>2024</v>
      </c>
      <c r="J20" s="12" t="s">
        <v>583</v>
      </c>
    </row>
    <row r="21" spans="1:10" x14ac:dyDescent="0.35">
      <c r="A21" s="13" t="s">
        <v>170</v>
      </c>
      <c r="B21" s="5">
        <v>10021405</v>
      </c>
      <c r="C21" s="5" t="s">
        <v>470</v>
      </c>
      <c r="D21" s="5">
        <v>10000</v>
      </c>
      <c r="E21" s="5">
        <v>20000</v>
      </c>
      <c r="F21" s="49">
        <f t="shared" si="0"/>
        <v>0.5</v>
      </c>
      <c r="G21" s="5" t="s">
        <v>336</v>
      </c>
      <c r="H21" s="5" t="s">
        <v>337</v>
      </c>
      <c r="I21" s="5">
        <v>2024</v>
      </c>
      <c r="J21" s="14" t="s">
        <v>618</v>
      </c>
    </row>
    <row r="22" spans="1:10" x14ac:dyDescent="0.35">
      <c r="A22" s="11" t="s">
        <v>252</v>
      </c>
      <c r="B22" s="4">
        <v>10077848</v>
      </c>
      <c r="C22" s="4" t="s">
        <v>361</v>
      </c>
      <c r="D22" s="4">
        <v>48239.4</v>
      </c>
      <c r="E22" s="4">
        <v>160798</v>
      </c>
      <c r="F22" s="47">
        <f t="shared" si="0"/>
        <v>0.3</v>
      </c>
      <c r="G22" s="4" t="s">
        <v>336</v>
      </c>
      <c r="H22" s="4" t="s">
        <v>337</v>
      </c>
      <c r="I22" s="4">
        <v>2024</v>
      </c>
      <c r="J22" s="12" t="s">
        <v>251</v>
      </c>
    </row>
    <row r="23" spans="1:10" x14ac:dyDescent="0.35">
      <c r="A23" s="13" t="s">
        <v>287</v>
      </c>
      <c r="B23" s="5">
        <v>10339515</v>
      </c>
      <c r="C23" s="5" t="s">
        <v>362</v>
      </c>
      <c r="D23" s="5">
        <v>10904.7</v>
      </c>
      <c r="E23" s="5">
        <v>36349</v>
      </c>
      <c r="F23" s="49">
        <f t="shared" si="0"/>
        <v>0.30000000000000004</v>
      </c>
      <c r="G23" s="5" t="s">
        <v>336</v>
      </c>
      <c r="H23" s="5" t="s">
        <v>337</v>
      </c>
      <c r="I23" s="5">
        <v>2024</v>
      </c>
      <c r="J23" s="7" t="s">
        <v>286</v>
      </c>
    </row>
    <row r="24" spans="1:10" x14ac:dyDescent="0.35">
      <c r="A24" s="11" t="s">
        <v>209</v>
      </c>
      <c r="B24" s="4">
        <v>10088533</v>
      </c>
      <c r="C24" s="4" t="s">
        <v>363</v>
      </c>
      <c r="D24" s="4">
        <v>37140</v>
      </c>
      <c r="E24" s="4">
        <v>123800</v>
      </c>
      <c r="F24" s="47">
        <f t="shared" si="0"/>
        <v>0.3</v>
      </c>
      <c r="G24" s="4" t="s">
        <v>336</v>
      </c>
      <c r="H24" s="4" t="s">
        <v>337</v>
      </c>
      <c r="I24" s="4">
        <v>2024</v>
      </c>
      <c r="J24" s="12" t="s">
        <v>208</v>
      </c>
    </row>
    <row r="25" spans="1:10" x14ac:dyDescent="0.35">
      <c r="A25" s="13" t="s">
        <v>201</v>
      </c>
      <c r="B25" s="5">
        <v>10868739</v>
      </c>
      <c r="C25" s="5" t="s">
        <v>364</v>
      </c>
      <c r="D25" s="5">
        <v>264348</v>
      </c>
      <c r="E25" s="5">
        <v>881160</v>
      </c>
      <c r="F25" s="49">
        <f t="shared" si="0"/>
        <v>0.3</v>
      </c>
      <c r="G25" s="5" t="s">
        <v>336</v>
      </c>
      <c r="H25" s="5" t="s">
        <v>337</v>
      </c>
      <c r="I25" s="5">
        <v>2024</v>
      </c>
      <c r="J25" s="7" t="s">
        <v>200</v>
      </c>
    </row>
    <row r="26" spans="1:10" x14ac:dyDescent="0.35">
      <c r="A26" s="11" t="s">
        <v>311</v>
      </c>
      <c r="B26" s="4">
        <v>10033236</v>
      </c>
      <c r="C26" s="4" t="s">
        <v>360</v>
      </c>
      <c r="D26" s="4">
        <v>74800</v>
      </c>
      <c r="E26" s="4">
        <v>187000</v>
      </c>
      <c r="F26" s="47">
        <f t="shared" si="0"/>
        <v>0.4</v>
      </c>
      <c r="G26" s="4" t="s">
        <v>336</v>
      </c>
      <c r="H26" s="4" t="s">
        <v>337</v>
      </c>
      <c r="I26" s="4">
        <v>2023</v>
      </c>
      <c r="J26" s="6" t="s">
        <v>619</v>
      </c>
    </row>
    <row r="27" spans="1:10" x14ac:dyDescent="0.35">
      <c r="A27" s="13" t="s">
        <v>214</v>
      </c>
      <c r="B27" s="5">
        <v>10185182</v>
      </c>
      <c r="C27" s="5" t="s">
        <v>367</v>
      </c>
      <c r="D27" s="5">
        <v>36001.800000000003</v>
      </c>
      <c r="E27" s="5">
        <v>120006</v>
      </c>
      <c r="F27" s="49">
        <f t="shared" si="0"/>
        <v>0.30000000000000004</v>
      </c>
      <c r="G27" s="5" t="s">
        <v>336</v>
      </c>
      <c r="H27" s="5" t="s">
        <v>337</v>
      </c>
      <c r="I27" s="5">
        <v>2024</v>
      </c>
      <c r="J27" s="7" t="s">
        <v>213</v>
      </c>
    </row>
    <row r="28" spans="1:10" x14ac:dyDescent="0.35">
      <c r="A28" s="11" t="s">
        <v>164</v>
      </c>
      <c r="B28" s="4">
        <v>10004973</v>
      </c>
      <c r="C28" s="4" t="s">
        <v>368</v>
      </c>
      <c r="D28" s="4">
        <v>11000</v>
      </c>
      <c r="E28" s="4">
        <v>22000</v>
      </c>
      <c r="F28" s="47">
        <f t="shared" si="0"/>
        <v>0.5</v>
      </c>
      <c r="G28" s="4" t="s">
        <v>336</v>
      </c>
      <c r="H28" s="4" t="s">
        <v>337</v>
      </c>
      <c r="I28" s="4">
        <v>2025</v>
      </c>
      <c r="J28" s="12" t="s">
        <v>163</v>
      </c>
    </row>
    <row r="29" spans="1:10" x14ac:dyDescent="0.35">
      <c r="A29" s="13" t="s">
        <v>365</v>
      </c>
      <c r="B29" s="5">
        <v>10131766</v>
      </c>
      <c r="C29" s="5" t="s">
        <v>366</v>
      </c>
      <c r="D29" s="5">
        <v>335006.07</v>
      </c>
      <c r="E29" s="5">
        <v>679215.94</v>
      </c>
      <c r="F29" s="49">
        <f t="shared" si="0"/>
        <v>0.49322468786583545</v>
      </c>
      <c r="G29" s="5" t="s">
        <v>336</v>
      </c>
      <c r="H29" s="5" t="s">
        <v>337</v>
      </c>
      <c r="I29" s="5">
        <v>2025</v>
      </c>
      <c r="J29" s="14" t="s">
        <v>620</v>
      </c>
    </row>
    <row r="30" spans="1:10" x14ac:dyDescent="0.35">
      <c r="A30" s="11" t="s">
        <v>164</v>
      </c>
      <c r="B30" s="4">
        <v>10004973</v>
      </c>
      <c r="C30" s="4" t="s">
        <v>370</v>
      </c>
      <c r="D30" s="4">
        <v>16500</v>
      </c>
      <c r="E30" s="4">
        <v>55000</v>
      </c>
      <c r="F30" s="47">
        <f t="shared" si="0"/>
        <v>0.3</v>
      </c>
      <c r="G30" s="4" t="s">
        <v>336</v>
      </c>
      <c r="H30" s="4" t="s">
        <v>337</v>
      </c>
      <c r="I30" s="4">
        <v>2025</v>
      </c>
      <c r="J30" s="12" t="s">
        <v>173</v>
      </c>
    </row>
    <row r="31" spans="1:10" x14ac:dyDescent="0.35">
      <c r="A31" s="13" t="s">
        <v>220</v>
      </c>
      <c r="B31" s="5">
        <v>10051010</v>
      </c>
      <c r="C31" s="5" t="s">
        <v>371</v>
      </c>
      <c r="D31" s="5">
        <v>54000</v>
      </c>
      <c r="E31" s="5">
        <v>135000</v>
      </c>
      <c r="F31" s="49">
        <f t="shared" si="0"/>
        <v>0.4</v>
      </c>
      <c r="G31" s="5" t="s">
        <v>336</v>
      </c>
      <c r="H31" s="5" t="s">
        <v>337</v>
      </c>
      <c r="I31" s="5">
        <v>2024</v>
      </c>
      <c r="J31" s="7" t="s">
        <v>219</v>
      </c>
    </row>
    <row r="32" spans="1:10" x14ac:dyDescent="0.35">
      <c r="A32" s="11" t="s">
        <v>372</v>
      </c>
      <c r="B32" s="4">
        <v>10930852</v>
      </c>
      <c r="C32" s="4" t="s">
        <v>373</v>
      </c>
      <c r="D32" s="4">
        <v>121500</v>
      </c>
      <c r="E32" s="4">
        <v>405000</v>
      </c>
      <c r="F32" s="47">
        <f t="shared" si="0"/>
        <v>0.3</v>
      </c>
      <c r="G32" s="4" t="s">
        <v>336</v>
      </c>
      <c r="H32" s="4" t="s">
        <v>337</v>
      </c>
      <c r="I32" s="4">
        <v>2024</v>
      </c>
      <c r="J32" s="12" t="s">
        <v>569</v>
      </c>
    </row>
    <row r="33" spans="1:10" x14ac:dyDescent="0.35">
      <c r="A33" s="13" t="s">
        <v>374</v>
      </c>
      <c r="B33" s="5">
        <v>12519842</v>
      </c>
      <c r="C33" s="5" t="s">
        <v>375</v>
      </c>
      <c r="D33" s="5">
        <v>500000</v>
      </c>
      <c r="E33" s="5">
        <v>1250000</v>
      </c>
      <c r="F33" s="49">
        <f t="shared" si="0"/>
        <v>0.4</v>
      </c>
      <c r="G33" s="5" t="s">
        <v>336</v>
      </c>
      <c r="H33" s="5" t="s">
        <v>337</v>
      </c>
      <c r="I33" s="5">
        <v>2023</v>
      </c>
      <c r="J33" s="7" t="s">
        <v>605</v>
      </c>
    </row>
    <row r="34" spans="1:10" x14ac:dyDescent="0.35">
      <c r="A34" s="11" t="s">
        <v>199</v>
      </c>
      <c r="B34" s="4">
        <v>10254960</v>
      </c>
      <c r="C34" s="4" t="s">
        <v>376</v>
      </c>
      <c r="D34" s="4">
        <v>100000</v>
      </c>
      <c r="E34" s="4">
        <v>250000</v>
      </c>
      <c r="F34" s="47">
        <f t="shared" si="0"/>
        <v>0.4</v>
      </c>
      <c r="G34" s="4" t="s">
        <v>336</v>
      </c>
      <c r="H34" s="4" t="s">
        <v>337</v>
      </c>
      <c r="I34" s="4">
        <v>2024</v>
      </c>
      <c r="J34" s="12" t="s">
        <v>198</v>
      </c>
    </row>
    <row r="35" spans="1:10" x14ac:dyDescent="0.35">
      <c r="A35" s="13" t="s">
        <v>167</v>
      </c>
      <c r="B35" s="5">
        <v>11493773</v>
      </c>
      <c r="C35" s="5" t="s">
        <v>377</v>
      </c>
      <c r="D35" s="5">
        <v>65739.8</v>
      </c>
      <c r="E35" s="5">
        <v>93914</v>
      </c>
      <c r="F35" s="49">
        <f t="shared" si="0"/>
        <v>0.70000000000000007</v>
      </c>
      <c r="G35" s="5" t="s">
        <v>336</v>
      </c>
      <c r="H35" s="5" t="s">
        <v>337</v>
      </c>
      <c r="I35" s="5">
        <v>2025</v>
      </c>
      <c r="J35" s="7" t="s">
        <v>166</v>
      </c>
    </row>
    <row r="36" spans="1:10" x14ac:dyDescent="0.35">
      <c r="A36" s="11" t="s">
        <v>280</v>
      </c>
      <c r="B36" s="4">
        <v>11309048</v>
      </c>
      <c r="C36" s="4" t="s">
        <v>378</v>
      </c>
      <c r="D36" s="4">
        <v>39000</v>
      </c>
      <c r="E36" s="4">
        <v>195000</v>
      </c>
      <c r="F36" s="47">
        <f t="shared" si="0"/>
        <v>0.2</v>
      </c>
      <c r="G36" s="4" t="s">
        <v>336</v>
      </c>
      <c r="H36" s="4" t="s">
        <v>337</v>
      </c>
      <c r="I36" s="4">
        <v>2024</v>
      </c>
      <c r="J36" s="12" t="s">
        <v>279</v>
      </c>
    </row>
    <row r="37" spans="1:10" x14ac:dyDescent="0.35">
      <c r="A37" s="13" t="s">
        <v>379</v>
      </c>
      <c r="B37" s="5">
        <v>10301984</v>
      </c>
      <c r="C37" s="5" t="s">
        <v>380</v>
      </c>
      <c r="D37" s="5">
        <v>217500</v>
      </c>
      <c r="E37" s="5">
        <v>725000</v>
      </c>
      <c r="F37" s="49">
        <f t="shared" si="0"/>
        <v>0.3</v>
      </c>
      <c r="G37" s="5" t="s">
        <v>336</v>
      </c>
      <c r="H37" s="5" t="s">
        <v>337</v>
      </c>
      <c r="I37" s="5">
        <v>2023</v>
      </c>
      <c r="J37" s="7" t="s">
        <v>604</v>
      </c>
    </row>
    <row r="38" spans="1:10" x14ac:dyDescent="0.35">
      <c r="A38" s="11" t="s">
        <v>270</v>
      </c>
      <c r="B38" s="4">
        <v>10269772</v>
      </c>
      <c r="C38" s="4" t="s">
        <v>465</v>
      </c>
      <c r="D38" s="4">
        <v>75750</v>
      </c>
      <c r="E38" s="4">
        <v>151500</v>
      </c>
      <c r="F38" s="47">
        <f t="shared" si="0"/>
        <v>0.5</v>
      </c>
      <c r="G38" s="4" t="s">
        <v>336</v>
      </c>
      <c r="H38" s="4" t="s">
        <v>337</v>
      </c>
      <c r="I38" s="4">
        <v>2023</v>
      </c>
      <c r="J38" s="6" t="s">
        <v>621</v>
      </c>
    </row>
    <row r="39" spans="1:10" x14ac:dyDescent="0.35">
      <c r="A39" s="13" t="s">
        <v>325</v>
      </c>
      <c r="B39" s="5">
        <v>12318492</v>
      </c>
      <c r="C39" s="5" t="s">
        <v>382</v>
      </c>
      <c r="D39" s="5">
        <v>103500</v>
      </c>
      <c r="E39" s="5">
        <v>230000</v>
      </c>
      <c r="F39" s="49">
        <f t="shared" si="0"/>
        <v>0.45</v>
      </c>
      <c r="G39" s="5" t="s">
        <v>336</v>
      </c>
      <c r="H39" s="5" t="s">
        <v>337</v>
      </c>
      <c r="I39" s="5">
        <v>2025</v>
      </c>
      <c r="J39" s="7" t="s">
        <v>324</v>
      </c>
    </row>
    <row r="40" spans="1:10" x14ac:dyDescent="0.35">
      <c r="A40" s="11" t="s">
        <v>49</v>
      </c>
      <c r="B40" s="4">
        <v>10078210</v>
      </c>
      <c r="C40" s="4" t="s">
        <v>383</v>
      </c>
      <c r="D40" s="4">
        <v>12522</v>
      </c>
      <c r="E40" s="4">
        <v>41740</v>
      </c>
      <c r="F40" s="47">
        <f t="shared" si="0"/>
        <v>0.3</v>
      </c>
      <c r="G40" s="4" t="s">
        <v>336</v>
      </c>
      <c r="H40" s="4" t="s">
        <v>337</v>
      </c>
      <c r="I40" s="4">
        <v>2024</v>
      </c>
      <c r="J40" s="12" t="s">
        <v>229</v>
      </c>
    </row>
    <row r="41" spans="1:10" x14ac:dyDescent="0.35">
      <c r="A41" s="13" t="s">
        <v>49</v>
      </c>
      <c r="B41" s="5">
        <v>10078210</v>
      </c>
      <c r="C41" s="5" t="s">
        <v>384</v>
      </c>
      <c r="D41" s="5">
        <v>23322</v>
      </c>
      <c r="E41" s="5">
        <v>77740</v>
      </c>
      <c r="F41" s="49">
        <f t="shared" si="0"/>
        <v>0.3</v>
      </c>
      <c r="G41" s="5" t="s">
        <v>336</v>
      </c>
      <c r="H41" s="5" t="s">
        <v>337</v>
      </c>
      <c r="I41" s="5">
        <v>2023</v>
      </c>
      <c r="J41" s="7" t="s">
        <v>306</v>
      </c>
    </row>
    <row r="42" spans="1:10" x14ac:dyDescent="0.35">
      <c r="A42" s="11" t="s">
        <v>49</v>
      </c>
      <c r="B42" s="4">
        <v>10078210</v>
      </c>
      <c r="C42" s="4" t="s">
        <v>385</v>
      </c>
      <c r="D42" s="4">
        <v>55548</v>
      </c>
      <c r="E42" s="4">
        <v>185160</v>
      </c>
      <c r="F42" s="47">
        <f t="shared" si="0"/>
        <v>0.3</v>
      </c>
      <c r="G42" s="4" t="s">
        <v>336</v>
      </c>
      <c r="H42" s="4" t="s">
        <v>337</v>
      </c>
      <c r="I42" s="4">
        <v>2023</v>
      </c>
      <c r="J42" s="12" t="s">
        <v>304</v>
      </c>
    </row>
    <row r="43" spans="1:10" x14ac:dyDescent="0.35">
      <c r="A43" s="13" t="s">
        <v>49</v>
      </c>
      <c r="B43" s="5">
        <v>10078210</v>
      </c>
      <c r="C43" s="5" t="s">
        <v>386</v>
      </c>
      <c r="D43" s="5">
        <v>20114.400000000001</v>
      </c>
      <c r="E43" s="5">
        <v>67048</v>
      </c>
      <c r="F43" s="49">
        <f t="shared" si="0"/>
        <v>0.30000000000000004</v>
      </c>
      <c r="G43" s="5" t="s">
        <v>336</v>
      </c>
      <c r="H43" s="5" t="s">
        <v>337</v>
      </c>
      <c r="I43" s="5">
        <v>2025</v>
      </c>
      <c r="J43" s="7" t="s">
        <v>317</v>
      </c>
    </row>
    <row r="44" spans="1:10" x14ac:dyDescent="0.35">
      <c r="A44" s="11" t="s">
        <v>49</v>
      </c>
      <c r="B44" s="4">
        <v>10078210</v>
      </c>
      <c r="C44" s="4" t="s">
        <v>387</v>
      </c>
      <c r="D44" s="4">
        <v>74142</v>
      </c>
      <c r="E44" s="4">
        <v>148284</v>
      </c>
      <c r="F44" s="47">
        <f t="shared" si="0"/>
        <v>0.5</v>
      </c>
      <c r="G44" s="4" t="s">
        <v>336</v>
      </c>
      <c r="H44" s="4" t="s">
        <v>337</v>
      </c>
      <c r="I44" s="4">
        <v>2025</v>
      </c>
      <c r="J44" s="12" t="s">
        <v>48</v>
      </c>
    </row>
    <row r="45" spans="1:10" x14ac:dyDescent="0.35">
      <c r="A45" s="13" t="s">
        <v>148</v>
      </c>
      <c r="B45" s="5">
        <v>10440415</v>
      </c>
      <c r="C45" s="5" t="s">
        <v>388</v>
      </c>
      <c r="D45" s="5">
        <v>32796.82</v>
      </c>
      <c r="E45" s="5">
        <v>81992.05</v>
      </c>
      <c r="F45" s="49">
        <f t="shared" si="0"/>
        <v>0.39999999999999997</v>
      </c>
      <c r="G45" s="5" t="s">
        <v>336</v>
      </c>
      <c r="H45" s="5" t="s">
        <v>337</v>
      </c>
      <c r="I45" s="5">
        <v>2023</v>
      </c>
      <c r="J45" s="7" t="s">
        <v>305</v>
      </c>
    </row>
    <row r="46" spans="1:10" x14ac:dyDescent="0.35">
      <c r="A46" s="11" t="s">
        <v>148</v>
      </c>
      <c r="B46" s="4">
        <v>10440415</v>
      </c>
      <c r="C46" s="4" t="s">
        <v>389</v>
      </c>
      <c r="D46" s="4">
        <v>73900</v>
      </c>
      <c r="E46" s="4">
        <v>142000</v>
      </c>
      <c r="F46" s="47">
        <f t="shared" si="0"/>
        <v>0.52042253521126758</v>
      </c>
      <c r="G46" s="4" t="s">
        <v>336</v>
      </c>
      <c r="H46" s="4" t="s">
        <v>337</v>
      </c>
      <c r="I46" s="4">
        <v>2025</v>
      </c>
      <c r="J46" s="12" t="s">
        <v>147</v>
      </c>
    </row>
    <row r="47" spans="1:10" x14ac:dyDescent="0.35">
      <c r="A47" s="13" t="s">
        <v>390</v>
      </c>
      <c r="B47" s="5">
        <v>12681488</v>
      </c>
      <c r="C47" s="5" t="s">
        <v>391</v>
      </c>
      <c r="D47" s="5">
        <v>500000</v>
      </c>
      <c r="E47" s="5">
        <v>1666666.67</v>
      </c>
      <c r="F47" s="49">
        <f t="shared" si="0"/>
        <v>0.29999999939999999</v>
      </c>
      <c r="G47" s="5" t="s">
        <v>336</v>
      </c>
      <c r="H47" s="5" t="s">
        <v>337</v>
      </c>
      <c r="I47" s="5">
        <v>2024</v>
      </c>
      <c r="J47" s="7" t="s">
        <v>572</v>
      </c>
    </row>
    <row r="48" spans="1:10" x14ac:dyDescent="0.35">
      <c r="A48" s="11" t="s">
        <v>59</v>
      </c>
      <c r="B48" s="4">
        <v>10274158</v>
      </c>
      <c r="C48" s="4" t="s">
        <v>340</v>
      </c>
      <c r="D48" s="4">
        <v>59950</v>
      </c>
      <c r="E48" s="4">
        <v>119900</v>
      </c>
      <c r="F48" s="47">
        <f t="shared" si="0"/>
        <v>0.5</v>
      </c>
      <c r="G48" s="4" t="s">
        <v>336</v>
      </c>
      <c r="H48" s="4" t="s">
        <v>337</v>
      </c>
      <c r="I48" s="4">
        <v>2024</v>
      </c>
      <c r="J48" s="6" t="s">
        <v>622</v>
      </c>
    </row>
    <row r="49" spans="1:10" x14ac:dyDescent="0.35">
      <c r="A49" s="13" t="s">
        <v>393</v>
      </c>
      <c r="B49" s="5">
        <v>10657801</v>
      </c>
      <c r="C49" s="5" t="s">
        <v>394</v>
      </c>
      <c r="D49" s="5">
        <v>290326.5</v>
      </c>
      <c r="E49" s="5">
        <v>967755</v>
      </c>
      <c r="F49" s="49">
        <f t="shared" si="0"/>
        <v>0.3</v>
      </c>
      <c r="G49" s="5" t="s">
        <v>336</v>
      </c>
      <c r="H49" s="5" t="s">
        <v>337</v>
      </c>
      <c r="I49" s="5">
        <v>2024</v>
      </c>
      <c r="J49" s="7" t="s">
        <v>586</v>
      </c>
    </row>
    <row r="50" spans="1:10" x14ac:dyDescent="0.35">
      <c r="A50" s="11" t="s">
        <v>395</v>
      </c>
      <c r="B50" s="4">
        <v>10249976</v>
      </c>
      <c r="C50" s="4" t="s">
        <v>396</v>
      </c>
      <c r="D50" s="4">
        <v>13500</v>
      </c>
      <c r="E50" s="4">
        <v>45000</v>
      </c>
      <c r="F50" s="47">
        <f t="shared" si="0"/>
        <v>0.3</v>
      </c>
      <c r="G50" s="4" t="s">
        <v>336</v>
      </c>
      <c r="H50" s="4" t="s">
        <v>337</v>
      </c>
      <c r="I50" s="4">
        <v>2024</v>
      </c>
      <c r="J50" s="12" t="s">
        <v>574</v>
      </c>
    </row>
    <row r="51" spans="1:10" x14ac:dyDescent="0.35">
      <c r="A51" s="13" t="s">
        <v>129</v>
      </c>
      <c r="B51" s="5">
        <v>14446099</v>
      </c>
      <c r="C51" s="5" t="s">
        <v>397</v>
      </c>
      <c r="D51" s="5">
        <v>38779.65</v>
      </c>
      <c r="E51" s="5">
        <v>55399.5</v>
      </c>
      <c r="F51" s="49">
        <f t="shared" si="0"/>
        <v>0.70000000000000007</v>
      </c>
      <c r="G51" s="5" t="s">
        <v>336</v>
      </c>
      <c r="H51" s="5" t="s">
        <v>337</v>
      </c>
      <c r="I51" s="5">
        <v>2025</v>
      </c>
      <c r="J51" s="7" t="s">
        <v>128</v>
      </c>
    </row>
    <row r="52" spans="1:10" x14ac:dyDescent="0.35">
      <c r="A52" s="11" t="s">
        <v>398</v>
      </c>
      <c r="B52" s="4">
        <v>12216538</v>
      </c>
      <c r="C52" s="4" t="s">
        <v>399</v>
      </c>
      <c r="D52" s="4">
        <v>242954.4</v>
      </c>
      <c r="E52" s="4">
        <v>809848</v>
      </c>
      <c r="F52" s="47">
        <f t="shared" si="0"/>
        <v>0.3</v>
      </c>
      <c r="G52" s="4" t="s">
        <v>336</v>
      </c>
      <c r="H52" s="4" t="s">
        <v>337</v>
      </c>
      <c r="I52" s="4">
        <v>2024</v>
      </c>
      <c r="J52" s="12" t="s">
        <v>580</v>
      </c>
    </row>
    <row r="53" spans="1:10" x14ac:dyDescent="0.35">
      <c r="A53" s="13" t="s">
        <v>216</v>
      </c>
      <c r="B53" s="5">
        <v>10920919</v>
      </c>
      <c r="C53" s="5" t="s">
        <v>400</v>
      </c>
      <c r="D53" s="5">
        <v>11101.6</v>
      </c>
      <c r="E53" s="5">
        <v>27754</v>
      </c>
      <c r="F53" s="49">
        <f t="shared" si="0"/>
        <v>0.4</v>
      </c>
      <c r="G53" s="5" t="s">
        <v>336</v>
      </c>
      <c r="H53" s="5" t="s">
        <v>337</v>
      </c>
      <c r="I53" s="5">
        <v>2024</v>
      </c>
      <c r="J53" s="7" t="s">
        <v>215</v>
      </c>
    </row>
    <row r="54" spans="1:10" x14ac:dyDescent="0.35">
      <c r="A54" s="11" t="s">
        <v>401</v>
      </c>
      <c r="B54" s="4">
        <v>10357045</v>
      </c>
      <c r="C54" s="4" t="s">
        <v>402</v>
      </c>
      <c r="D54" s="4">
        <v>35663.699999999997</v>
      </c>
      <c r="E54" s="4">
        <v>118879</v>
      </c>
      <c r="F54" s="47">
        <f t="shared" si="0"/>
        <v>0.3</v>
      </c>
      <c r="G54" s="4" t="s">
        <v>336</v>
      </c>
      <c r="H54" s="4" t="s">
        <v>337</v>
      </c>
      <c r="I54" s="4">
        <v>2024</v>
      </c>
      <c r="J54" s="12" t="s">
        <v>565</v>
      </c>
    </row>
    <row r="55" spans="1:10" x14ac:dyDescent="0.35">
      <c r="A55" s="13" t="s">
        <v>403</v>
      </c>
      <c r="B55" s="5">
        <v>10098158</v>
      </c>
      <c r="C55" s="5" t="s">
        <v>404</v>
      </c>
      <c r="D55" s="5">
        <v>25000</v>
      </c>
      <c r="E55" s="5">
        <v>125000</v>
      </c>
      <c r="F55" s="49">
        <f t="shared" si="0"/>
        <v>0.2</v>
      </c>
      <c r="G55" s="5" t="s">
        <v>336</v>
      </c>
      <c r="H55" s="5" t="s">
        <v>337</v>
      </c>
      <c r="I55" s="5">
        <v>2024</v>
      </c>
      <c r="J55" s="7" t="s">
        <v>588</v>
      </c>
    </row>
    <row r="56" spans="1:10" x14ac:dyDescent="0.35">
      <c r="A56" s="11" t="s">
        <v>109</v>
      </c>
      <c r="B56" s="4">
        <v>10005091</v>
      </c>
      <c r="C56" s="4" t="s">
        <v>405</v>
      </c>
      <c r="D56" s="4">
        <v>122989.2</v>
      </c>
      <c r="E56" s="4">
        <v>204982</v>
      </c>
      <c r="F56" s="47">
        <f t="shared" si="0"/>
        <v>0.6</v>
      </c>
      <c r="G56" s="4" t="s">
        <v>336</v>
      </c>
      <c r="H56" s="4" t="s">
        <v>337</v>
      </c>
      <c r="I56" s="4">
        <v>2025</v>
      </c>
      <c r="J56" s="12" t="s">
        <v>108</v>
      </c>
    </row>
    <row r="57" spans="1:10" x14ac:dyDescent="0.35">
      <c r="A57" s="13" t="s">
        <v>406</v>
      </c>
      <c r="B57" s="5">
        <v>14301076</v>
      </c>
      <c r="C57" s="5" t="s">
        <v>407</v>
      </c>
      <c r="D57" s="5">
        <v>210000</v>
      </c>
      <c r="E57" s="5">
        <v>700000</v>
      </c>
      <c r="F57" s="49">
        <f t="shared" si="0"/>
        <v>0.3</v>
      </c>
      <c r="G57" s="5" t="s">
        <v>336</v>
      </c>
      <c r="H57" s="5" t="s">
        <v>337</v>
      </c>
      <c r="I57" s="5">
        <v>2023</v>
      </c>
      <c r="J57" s="7" t="s">
        <v>607</v>
      </c>
    </row>
    <row r="58" spans="1:10" x14ac:dyDescent="0.35">
      <c r="A58" s="11" t="s">
        <v>132</v>
      </c>
      <c r="B58" s="4">
        <v>11189064</v>
      </c>
      <c r="C58" s="4" t="s">
        <v>408</v>
      </c>
      <c r="D58" s="4">
        <v>65003.08</v>
      </c>
      <c r="E58" s="4">
        <v>130006.16</v>
      </c>
      <c r="F58" s="47">
        <f t="shared" si="0"/>
        <v>0.5</v>
      </c>
      <c r="G58" s="4" t="s">
        <v>336</v>
      </c>
      <c r="H58" s="4" t="s">
        <v>337</v>
      </c>
      <c r="I58" s="4">
        <v>2025</v>
      </c>
      <c r="J58" s="12" t="s">
        <v>131</v>
      </c>
    </row>
    <row r="59" spans="1:10" x14ac:dyDescent="0.35">
      <c r="A59" s="13" t="s">
        <v>409</v>
      </c>
      <c r="B59" s="5">
        <v>10462380</v>
      </c>
      <c r="C59" s="5" t="s">
        <v>410</v>
      </c>
      <c r="D59" s="5">
        <v>56000</v>
      </c>
      <c r="E59" s="5">
        <v>280000</v>
      </c>
      <c r="F59" s="49">
        <f t="shared" si="0"/>
        <v>0.2</v>
      </c>
      <c r="G59" s="5" t="s">
        <v>336</v>
      </c>
      <c r="H59" s="5" t="s">
        <v>337</v>
      </c>
      <c r="I59" s="5">
        <v>2023</v>
      </c>
      <c r="J59" s="7" t="s">
        <v>589</v>
      </c>
    </row>
    <row r="60" spans="1:10" x14ac:dyDescent="0.35">
      <c r="A60" s="11" t="s">
        <v>226</v>
      </c>
      <c r="B60" s="4">
        <v>12003860</v>
      </c>
      <c r="C60" s="4" t="s">
        <v>411</v>
      </c>
      <c r="D60" s="4">
        <v>27800</v>
      </c>
      <c r="E60" s="4">
        <v>69500</v>
      </c>
      <c r="F60" s="47">
        <f t="shared" si="0"/>
        <v>0.4</v>
      </c>
      <c r="G60" s="4" t="s">
        <v>336</v>
      </c>
      <c r="H60" s="4" t="s">
        <v>337</v>
      </c>
      <c r="I60" s="4">
        <v>2024</v>
      </c>
      <c r="J60" s="12" t="s">
        <v>225</v>
      </c>
    </row>
    <row r="61" spans="1:10" x14ac:dyDescent="0.35">
      <c r="A61" s="13" t="s">
        <v>162</v>
      </c>
      <c r="B61" s="5">
        <v>10032703</v>
      </c>
      <c r="C61" s="5" t="s">
        <v>412</v>
      </c>
      <c r="D61" s="5">
        <v>12593</v>
      </c>
      <c r="E61" s="5">
        <v>17990</v>
      </c>
      <c r="F61" s="49">
        <f t="shared" si="0"/>
        <v>0.7</v>
      </c>
      <c r="G61" s="5" t="s">
        <v>336</v>
      </c>
      <c r="H61" s="5" t="s">
        <v>337</v>
      </c>
      <c r="I61" s="5">
        <v>2025</v>
      </c>
      <c r="J61" s="7" t="s">
        <v>161</v>
      </c>
    </row>
    <row r="62" spans="1:10" x14ac:dyDescent="0.35">
      <c r="A62" s="11" t="s">
        <v>162</v>
      </c>
      <c r="B62" s="4">
        <v>10032703</v>
      </c>
      <c r="C62" s="4" t="s">
        <v>413</v>
      </c>
      <c r="D62" s="4">
        <v>24220</v>
      </c>
      <c r="E62" s="4">
        <v>48440</v>
      </c>
      <c r="F62" s="47">
        <f t="shared" si="0"/>
        <v>0.5</v>
      </c>
      <c r="G62" s="4" t="s">
        <v>336</v>
      </c>
      <c r="H62" s="4" t="s">
        <v>337</v>
      </c>
      <c r="I62" s="4">
        <v>2024</v>
      </c>
      <c r="J62" s="12" t="s">
        <v>218</v>
      </c>
    </row>
    <row r="63" spans="1:10" x14ac:dyDescent="0.35">
      <c r="A63" s="13" t="s">
        <v>282</v>
      </c>
      <c r="B63" s="5">
        <v>10493647</v>
      </c>
      <c r="C63" s="5" t="s">
        <v>430</v>
      </c>
      <c r="D63" s="5">
        <v>22500</v>
      </c>
      <c r="E63" s="5">
        <v>45000</v>
      </c>
      <c r="F63" s="49">
        <f t="shared" si="0"/>
        <v>0.5</v>
      </c>
      <c r="G63" s="5" t="s">
        <v>336</v>
      </c>
      <c r="H63" s="5" t="s">
        <v>337</v>
      </c>
      <c r="I63" s="5">
        <v>2024</v>
      </c>
      <c r="J63" s="7" t="s">
        <v>623</v>
      </c>
    </row>
    <row r="64" spans="1:10" x14ac:dyDescent="0.35">
      <c r="A64" s="11" t="s">
        <v>138</v>
      </c>
      <c r="B64" s="4">
        <v>11011627</v>
      </c>
      <c r="C64" s="4" t="s">
        <v>415</v>
      </c>
      <c r="D64" s="4">
        <v>236190</v>
      </c>
      <c r="E64" s="4">
        <v>472380</v>
      </c>
      <c r="F64" s="47">
        <f t="shared" si="0"/>
        <v>0.5</v>
      </c>
      <c r="G64" s="4" t="s">
        <v>336</v>
      </c>
      <c r="H64" s="4" t="s">
        <v>337</v>
      </c>
      <c r="I64" s="4">
        <v>2025</v>
      </c>
      <c r="J64" s="12" t="s">
        <v>137</v>
      </c>
    </row>
    <row r="65" spans="1:10" x14ac:dyDescent="0.35">
      <c r="A65" s="13" t="s">
        <v>294</v>
      </c>
      <c r="B65" s="5">
        <v>12570665</v>
      </c>
      <c r="C65" s="5" t="s">
        <v>416</v>
      </c>
      <c r="D65" s="5">
        <v>74000</v>
      </c>
      <c r="E65" s="5">
        <v>185000</v>
      </c>
      <c r="F65" s="49">
        <f t="shared" si="0"/>
        <v>0.4</v>
      </c>
      <c r="G65" s="5" t="s">
        <v>336</v>
      </c>
      <c r="H65" s="5" t="s">
        <v>337</v>
      </c>
      <c r="I65" s="5">
        <v>2023</v>
      </c>
      <c r="J65" s="7" t="s">
        <v>293</v>
      </c>
    </row>
    <row r="66" spans="1:10" x14ac:dyDescent="0.35">
      <c r="A66" s="11" t="s">
        <v>140</v>
      </c>
      <c r="B66" s="4">
        <v>12464029</v>
      </c>
      <c r="C66" s="4" t="s">
        <v>417</v>
      </c>
      <c r="D66" s="4">
        <v>41217.4</v>
      </c>
      <c r="E66" s="4">
        <v>58882</v>
      </c>
      <c r="F66" s="47">
        <f t="shared" si="0"/>
        <v>0.70000000000000007</v>
      </c>
      <c r="G66" s="4" t="s">
        <v>336</v>
      </c>
      <c r="H66" s="4" t="s">
        <v>337</v>
      </c>
      <c r="I66" s="4">
        <v>2025</v>
      </c>
      <c r="J66" s="12" t="s">
        <v>139</v>
      </c>
    </row>
    <row r="67" spans="1:10" x14ac:dyDescent="0.35">
      <c r="A67" s="13" t="s">
        <v>67</v>
      </c>
      <c r="B67" s="5">
        <v>12107559</v>
      </c>
      <c r="C67" s="5" t="s">
        <v>418</v>
      </c>
      <c r="D67" s="5">
        <v>274400</v>
      </c>
      <c r="E67" s="5">
        <v>392000</v>
      </c>
      <c r="F67" s="49">
        <f t="shared" ref="F67:F130" si="1">D67/E67</f>
        <v>0.7</v>
      </c>
      <c r="G67" s="5" t="s">
        <v>336</v>
      </c>
      <c r="H67" s="5" t="s">
        <v>337</v>
      </c>
      <c r="I67" s="5">
        <v>2025</v>
      </c>
      <c r="J67" s="7" t="s">
        <v>66</v>
      </c>
    </row>
    <row r="68" spans="1:10" x14ac:dyDescent="0.35">
      <c r="A68" s="11" t="s">
        <v>111</v>
      </c>
      <c r="B68" s="4">
        <v>12667382</v>
      </c>
      <c r="C68" s="4" t="s">
        <v>419</v>
      </c>
      <c r="D68" s="4">
        <v>17185</v>
      </c>
      <c r="E68" s="4">
        <v>24550</v>
      </c>
      <c r="F68" s="47">
        <f t="shared" si="1"/>
        <v>0.7</v>
      </c>
      <c r="G68" s="4" t="s">
        <v>336</v>
      </c>
      <c r="H68" s="4" t="s">
        <v>337</v>
      </c>
      <c r="I68" s="4">
        <v>2025</v>
      </c>
      <c r="J68" s="12" t="s">
        <v>110</v>
      </c>
    </row>
    <row r="69" spans="1:10" x14ac:dyDescent="0.35">
      <c r="A69" s="13" t="s">
        <v>420</v>
      </c>
      <c r="B69" s="5">
        <v>11632588</v>
      </c>
      <c r="C69" s="5" t="s">
        <v>421</v>
      </c>
      <c r="D69" s="5">
        <v>217150.5</v>
      </c>
      <c r="E69" s="5">
        <v>434301</v>
      </c>
      <c r="F69" s="49">
        <f t="shared" si="1"/>
        <v>0.5</v>
      </c>
      <c r="G69" s="5" t="s">
        <v>336</v>
      </c>
      <c r="H69" s="5" t="s">
        <v>337</v>
      </c>
      <c r="I69" s="5">
        <v>2024</v>
      </c>
      <c r="J69" s="7" t="s">
        <v>561</v>
      </c>
    </row>
    <row r="70" spans="1:10" x14ac:dyDescent="0.35">
      <c r="A70" s="11" t="s">
        <v>65</v>
      </c>
      <c r="B70" s="4">
        <v>14659257</v>
      </c>
      <c r="C70" s="4" t="s">
        <v>422</v>
      </c>
      <c r="D70" s="4">
        <v>49230</v>
      </c>
      <c r="E70" s="4">
        <v>82050</v>
      </c>
      <c r="F70" s="47">
        <f t="shared" si="1"/>
        <v>0.6</v>
      </c>
      <c r="G70" s="4" t="s">
        <v>336</v>
      </c>
      <c r="H70" s="4" t="s">
        <v>337</v>
      </c>
      <c r="I70" s="4">
        <v>2025</v>
      </c>
      <c r="J70" s="12" t="s">
        <v>64</v>
      </c>
    </row>
    <row r="71" spans="1:10" x14ac:dyDescent="0.35">
      <c r="A71" s="13" t="s">
        <v>423</v>
      </c>
      <c r="B71" s="5">
        <v>16196755</v>
      </c>
      <c r="C71" s="5" t="s">
        <v>424</v>
      </c>
      <c r="D71" s="5">
        <v>58000</v>
      </c>
      <c r="E71" s="5">
        <v>145000</v>
      </c>
      <c r="F71" s="49">
        <f t="shared" si="1"/>
        <v>0.4</v>
      </c>
      <c r="G71" s="5" t="s">
        <v>336</v>
      </c>
      <c r="H71" s="5" t="s">
        <v>337</v>
      </c>
      <c r="I71" s="5">
        <v>2023</v>
      </c>
      <c r="J71" s="7" t="s">
        <v>593</v>
      </c>
    </row>
    <row r="72" spans="1:10" x14ac:dyDescent="0.35">
      <c r="A72" s="11" t="s">
        <v>423</v>
      </c>
      <c r="B72" s="4">
        <v>16196755</v>
      </c>
      <c r="C72" s="4" t="s">
        <v>425</v>
      </c>
      <c r="D72" s="4">
        <v>57000</v>
      </c>
      <c r="E72" s="4">
        <v>190000</v>
      </c>
      <c r="F72" s="47">
        <f t="shared" si="1"/>
        <v>0.3</v>
      </c>
      <c r="G72" s="4" t="s">
        <v>336</v>
      </c>
      <c r="H72" s="4" t="s">
        <v>337</v>
      </c>
      <c r="I72" s="4">
        <v>2024</v>
      </c>
      <c r="J72" s="12" t="s">
        <v>567</v>
      </c>
    </row>
    <row r="73" spans="1:10" x14ac:dyDescent="0.35">
      <c r="A73" s="13" t="s">
        <v>313</v>
      </c>
      <c r="B73" s="5">
        <v>10959488</v>
      </c>
      <c r="C73" s="5" t="s">
        <v>426</v>
      </c>
      <c r="D73" s="5">
        <v>20662.400000000001</v>
      </c>
      <c r="E73" s="5">
        <v>51656</v>
      </c>
      <c r="F73" s="49">
        <f t="shared" si="1"/>
        <v>0.4</v>
      </c>
      <c r="G73" s="5" t="s">
        <v>336</v>
      </c>
      <c r="H73" s="5" t="s">
        <v>337</v>
      </c>
      <c r="I73" s="5">
        <v>2023</v>
      </c>
      <c r="J73" s="7" t="s">
        <v>312</v>
      </c>
    </row>
    <row r="74" spans="1:10" x14ac:dyDescent="0.35">
      <c r="A74" s="11" t="s">
        <v>427</v>
      </c>
      <c r="B74" s="4">
        <v>11366000</v>
      </c>
      <c r="C74" s="4" t="s">
        <v>428</v>
      </c>
      <c r="D74" s="4">
        <v>66000</v>
      </c>
      <c r="E74" s="4">
        <v>165000</v>
      </c>
      <c r="F74" s="47">
        <f t="shared" si="1"/>
        <v>0.4</v>
      </c>
      <c r="G74" s="4" t="s">
        <v>336</v>
      </c>
      <c r="H74" s="4" t="s">
        <v>337</v>
      </c>
      <c r="I74" s="4">
        <v>2024</v>
      </c>
      <c r="J74" s="12" t="s">
        <v>563</v>
      </c>
    </row>
    <row r="75" spans="1:10" x14ac:dyDescent="0.35">
      <c r="A75" s="13" t="s">
        <v>125</v>
      </c>
      <c r="B75" s="5">
        <v>10099672</v>
      </c>
      <c r="C75" s="5" t="s">
        <v>429</v>
      </c>
      <c r="D75" s="5">
        <v>116264</v>
      </c>
      <c r="E75" s="5">
        <v>232528</v>
      </c>
      <c r="F75" s="49">
        <f t="shared" si="1"/>
        <v>0.5</v>
      </c>
      <c r="G75" s="5" t="s">
        <v>336</v>
      </c>
      <c r="H75" s="5" t="s">
        <v>337</v>
      </c>
      <c r="I75" s="5">
        <v>2025</v>
      </c>
      <c r="J75" s="7" t="s">
        <v>124</v>
      </c>
    </row>
    <row r="76" spans="1:10" x14ac:dyDescent="0.35">
      <c r="A76" s="11" t="s">
        <v>284</v>
      </c>
      <c r="B76" s="4">
        <v>10803289</v>
      </c>
      <c r="C76" s="4" t="s">
        <v>392</v>
      </c>
      <c r="D76" s="4">
        <v>27369.9</v>
      </c>
      <c r="E76" s="4">
        <v>91233</v>
      </c>
      <c r="F76" s="47">
        <f t="shared" si="1"/>
        <v>0.3</v>
      </c>
      <c r="G76" s="4" t="s">
        <v>336</v>
      </c>
      <c r="H76" s="4" t="s">
        <v>337</v>
      </c>
      <c r="I76" s="4">
        <v>2024</v>
      </c>
      <c r="J76" s="6" t="s">
        <v>624</v>
      </c>
    </row>
    <row r="77" spans="1:10" x14ac:dyDescent="0.35">
      <c r="A77" s="13" t="s">
        <v>431</v>
      </c>
      <c r="B77" s="5">
        <v>11306570</v>
      </c>
      <c r="C77" s="5" t="s">
        <v>432</v>
      </c>
      <c r="D77" s="5">
        <v>35762.18</v>
      </c>
      <c r="E77" s="5">
        <v>178810.9</v>
      </c>
      <c r="F77" s="49">
        <f t="shared" si="1"/>
        <v>0.2</v>
      </c>
      <c r="G77" s="5" t="s">
        <v>336</v>
      </c>
      <c r="H77" s="5" t="s">
        <v>337</v>
      </c>
      <c r="I77" s="5">
        <v>2023</v>
      </c>
      <c r="J77" s="7" t="s">
        <v>596</v>
      </c>
    </row>
    <row r="78" spans="1:10" x14ac:dyDescent="0.35">
      <c r="A78" s="11" t="s">
        <v>191</v>
      </c>
      <c r="B78" s="4">
        <v>10934040</v>
      </c>
      <c r="C78" s="4" t="s">
        <v>433</v>
      </c>
      <c r="D78" s="4">
        <v>130500</v>
      </c>
      <c r="E78" s="4">
        <v>261000</v>
      </c>
      <c r="F78" s="47">
        <f t="shared" si="1"/>
        <v>0.5</v>
      </c>
      <c r="G78" s="4" t="s">
        <v>336</v>
      </c>
      <c r="H78" s="4" t="s">
        <v>337</v>
      </c>
      <c r="I78" s="4">
        <v>2024</v>
      </c>
      <c r="J78" s="12" t="s">
        <v>190</v>
      </c>
    </row>
    <row r="79" spans="1:10" x14ac:dyDescent="0.35">
      <c r="A79" s="13" t="s">
        <v>302</v>
      </c>
      <c r="B79" s="5">
        <v>10897652</v>
      </c>
      <c r="C79" s="5" t="s">
        <v>414</v>
      </c>
      <c r="D79" s="5">
        <v>39350</v>
      </c>
      <c r="E79" s="5">
        <v>78700</v>
      </c>
      <c r="F79" s="49">
        <f t="shared" si="1"/>
        <v>0.5</v>
      </c>
      <c r="G79" s="5" t="s">
        <v>336</v>
      </c>
      <c r="H79" s="5" t="s">
        <v>337</v>
      </c>
      <c r="I79" s="5">
        <v>2023</v>
      </c>
      <c r="J79" s="14" t="s">
        <v>625</v>
      </c>
    </row>
    <row r="80" spans="1:10" x14ac:dyDescent="0.35">
      <c r="A80" s="11" t="s">
        <v>211</v>
      </c>
      <c r="B80" s="4">
        <v>10168344</v>
      </c>
      <c r="C80" s="4" t="s">
        <v>435</v>
      </c>
      <c r="D80" s="4">
        <v>112000</v>
      </c>
      <c r="E80" s="4">
        <v>280000</v>
      </c>
      <c r="F80" s="47">
        <f t="shared" si="1"/>
        <v>0.4</v>
      </c>
      <c r="G80" s="4" t="s">
        <v>336</v>
      </c>
      <c r="H80" s="4" t="s">
        <v>337</v>
      </c>
      <c r="I80" s="4">
        <v>2024</v>
      </c>
      <c r="J80" s="12" t="s">
        <v>210</v>
      </c>
    </row>
    <row r="81" spans="1:10" x14ac:dyDescent="0.35">
      <c r="A81" s="13" t="s">
        <v>243</v>
      </c>
      <c r="B81" s="5">
        <v>10635596</v>
      </c>
      <c r="C81" s="5" t="s">
        <v>436</v>
      </c>
      <c r="D81" s="5">
        <v>18669</v>
      </c>
      <c r="E81" s="5">
        <v>37338</v>
      </c>
      <c r="F81" s="49">
        <f t="shared" si="1"/>
        <v>0.5</v>
      </c>
      <c r="G81" s="5" t="s">
        <v>336</v>
      </c>
      <c r="H81" s="5" t="s">
        <v>337</v>
      </c>
      <c r="I81" s="5">
        <v>2024</v>
      </c>
      <c r="J81" s="7" t="s">
        <v>242</v>
      </c>
    </row>
    <row r="82" spans="1:10" x14ac:dyDescent="0.35">
      <c r="A82" s="11" t="s">
        <v>437</v>
      </c>
      <c r="B82" s="4">
        <v>11769005</v>
      </c>
      <c r="C82" s="4" t="s">
        <v>438</v>
      </c>
      <c r="D82" s="4">
        <v>46000</v>
      </c>
      <c r="E82" s="4">
        <v>230000</v>
      </c>
      <c r="F82" s="47">
        <f t="shared" si="1"/>
        <v>0.2</v>
      </c>
      <c r="G82" s="4" t="s">
        <v>336</v>
      </c>
      <c r="H82" s="4" t="s">
        <v>337</v>
      </c>
      <c r="I82" s="4">
        <v>2024</v>
      </c>
      <c r="J82" s="12" t="s">
        <v>564</v>
      </c>
    </row>
    <row r="83" spans="1:10" x14ac:dyDescent="0.35">
      <c r="A83" s="13" t="s">
        <v>106</v>
      </c>
      <c r="B83" s="5">
        <v>12541362</v>
      </c>
      <c r="C83" s="5" t="s">
        <v>439</v>
      </c>
      <c r="D83" s="5">
        <v>80000</v>
      </c>
      <c r="E83" s="5">
        <v>200000</v>
      </c>
      <c r="F83" s="49">
        <f t="shared" si="1"/>
        <v>0.4</v>
      </c>
      <c r="G83" s="5" t="s">
        <v>336</v>
      </c>
      <c r="H83" s="5" t="s">
        <v>337</v>
      </c>
      <c r="I83" s="5">
        <v>2025</v>
      </c>
      <c r="J83" s="7" t="s">
        <v>105</v>
      </c>
    </row>
    <row r="84" spans="1:10" x14ac:dyDescent="0.35">
      <c r="A84" s="11" t="s">
        <v>440</v>
      </c>
      <c r="B84" s="4">
        <v>10936116</v>
      </c>
      <c r="C84" s="4" t="s">
        <v>441</v>
      </c>
      <c r="D84" s="4">
        <v>336039.2</v>
      </c>
      <c r="E84" s="4">
        <v>840098</v>
      </c>
      <c r="F84" s="47">
        <f t="shared" si="1"/>
        <v>0.4</v>
      </c>
      <c r="G84" s="4" t="s">
        <v>336</v>
      </c>
      <c r="H84" s="4" t="s">
        <v>337</v>
      </c>
      <c r="I84" s="4">
        <v>2023</v>
      </c>
      <c r="J84" s="12" t="s">
        <v>591</v>
      </c>
    </row>
    <row r="85" spans="1:10" x14ac:dyDescent="0.35">
      <c r="A85" s="13" t="s">
        <v>69</v>
      </c>
      <c r="B85" s="5">
        <v>10419556</v>
      </c>
      <c r="C85" s="5" t="s">
        <v>442</v>
      </c>
      <c r="D85" s="5">
        <v>27043.8</v>
      </c>
      <c r="E85" s="5">
        <v>38634</v>
      </c>
      <c r="F85" s="49">
        <f t="shared" si="1"/>
        <v>0.7</v>
      </c>
      <c r="G85" s="5" t="s">
        <v>336</v>
      </c>
      <c r="H85" s="5" t="s">
        <v>337</v>
      </c>
      <c r="I85" s="5">
        <v>2025</v>
      </c>
      <c r="J85" s="7" t="s">
        <v>68</v>
      </c>
    </row>
    <row r="86" spans="1:10" x14ac:dyDescent="0.35">
      <c r="A86" s="11" t="s">
        <v>297</v>
      </c>
      <c r="B86" s="4">
        <v>11377067</v>
      </c>
      <c r="C86" s="4" t="s">
        <v>443</v>
      </c>
      <c r="D86" s="4">
        <v>31957.9</v>
      </c>
      <c r="E86" s="4">
        <v>63915.8</v>
      </c>
      <c r="F86" s="47">
        <f t="shared" si="1"/>
        <v>0.5</v>
      </c>
      <c r="G86" s="4" t="s">
        <v>336</v>
      </c>
      <c r="H86" s="4" t="s">
        <v>337</v>
      </c>
      <c r="I86" s="4">
        <v>2023</v>
      </c>
      <c r="J86" s="12" t="s">
        <v>296</v>
      </c>
    </row>
    <row r="87" spans="1:10" x14ac:dyDescent="0.35">
      <c r="A87" s="13" t="s">
        <v>172</v>
      </c>
      <c r="B87" s="5">
        <v>10774518</v>
      </c>
      <c r="C87" s="5" t="s">
        <v>444</v>
      </c>
      <c r="D87" s="5">
        <v>66000</v>
      </c>
      <c r="E87" s="5">
        <v>110000</v>
      </c>
      <c r="F87" s="49">
        <f t="shared" si="1"/>
        <v>0.6</v>
      </c>
      <c r="G87" s="5" t="s">
        <v>336</v>
      </c>
      <c r="H87" s="5" t="s">
        <v>337</v>
      </c>
      <c r="I87" s="5">
        <v>2025</v>
      </c>
      <c r="J87" s="7" t="s">
        <v>171</v>
      </c>
    </row>
    <row r="88" spans="1:10" x14ac:dyDescent="0.35">
      <c r="A88" s="11" t="s">
        <v>51</v>
      </c>
      <c r="B88" s="4">
        <v>10126848</v>
      </c>
      <c r="C88" s="4" t="s">
        <v>445</v>
      </c>
      <c r="D88" s="4">
        <v>57999.77</v>
      </c>
      <c r="E88" s="4">
        <v>115999.54</v>
      </c>
      <c r="F88" s="47">
        <f t="shared" si="1"/>
        <v>0.5</v>
      </c>
      <c r="G88" s="4" t="s">
        <v>336</v>
      </c>
      <c r="H88" s="4" t="s">
        <v>337</v>
      </c>
      <c r="I88" s="4">
        <v>2025</v>
      </c>
      <c r="J88" s="12" t="s">
        <v>50</v>
      </c>
    </row>
    <row r="89" spans="1:10" x14ac:dyDescent="0.35">
      <c r="A89" s="13" t="s">
        <v>144</v>
      </c>
      <c r="B89" s="5">
        <v>10422722</v>
      </c>
      <c r="C89" s="5" t="s">
        <v>446</v>
      </c>
      <c r="D89" s="5">
        <v>88270.2</v>
      </c>
      <c r="E89" s="5">
        <v>147117</v>
      </c>
      <c r="F89" s="49">
        <f t="shared" si="1"/>
        <v>0.6</v>
      </c>
      <c r="G89" s="5" t="s">
        <v>336</v>
      </c>
      <c r="H89" s="5" t="s">
        <v>337</v>
      </c>
      <c r="I89" s="5">
        <v>2025</v>
      </c>
      <c r="J89" s="7" t="s">
        <v>143</v>
      </c>
    </row>
    <row r="90" spans="1:10" x14ac:dyDescent="0.35">
      <c r="A90" s="11" t="s">
        <v>261</v>
      </c>
      <c r="B90" s="4">
        <v>10810378</v>
      </c>
      <c r="C90" s="4" t="s">
        <v>447</v>
      </c>
      <c r="D90" s="4">
        <v>68000</v>
      </c>
      <c r="E90" s="4">
        <v>170000</v>
      </c>
      <c r="F90" s="47">
        <f t="shared" si="1"/>
        <v>0.4</v>
      </c>
      <c r="G90" s="4" t="s">
        <v>336</v>
      </c>
      <c r="H90" s="4" t="s">
        <v>337</v>
      </c>
      <c r="I90" s="4">
        <v>2024</v>
      </c>
      <c r="J90" s="12" t="s">
        <v>260</v>
      </c>
    </row>
    <row r="91" spans="1:10" x14ac:dyDescent="0.35">
      <c r="A91" s="13" t="s">
        <v>86</v>
      </c>
      <c r="B91" s="5">
        <v>10084831</v>
      </c>
      <c r="C91" s="5" t="s">
        <v>448</v>
      </c>
      <c r="D91" s="5">
        <v>82404</v>
      </c>
      <c r="E91" s="5">
        <v>137340</v>
      </c>
      <c r="F91" s="49">
        <f t="shared" si="1"/>
        <v>0.6</v>
      </c>
      <c r="G91" s="5" t="s">
        <v>336</v>
      </c>
      <c r="H91" s="5" t="s">
        <v>337</v>
      </c>
      <c r="I91" s="5">
        <v>2025</v>
      </c>
      <c r="J91" s="7" t="s">
        <v>85</v>
      </c>
    </row>
    <row r="92" spans="1:10" x14ac:dyDescent="0.35">
      <c r="A92" s="11" t="s">
        <v>135</v>
      </c>
      <c r="B92" s="4">
        <v>11015140</v>
      </c>
      <c r="C92" s="4" t="s">
        <v>449</v>
      </c>
      <c r="D92" s="4">
        <v>81134.570000000007</v>
      </c>
      <c r="E92" s="4">
        <v>115906.53</v>
      </c>
      <c r="F92" s="47">
        <f t="shared" si="1"/>
        <v>0.69999999137235847</v>
      </c>
      <c r="G92" s="4" t="s">
        <v>336</v>
      </c>
      <c r="H92" s="4" t="s">
        <v>337</v>
      </c>
      <c r="I92" s="4">
        <v>2025</v>
      </c>
      <c r="J92" s="12" t="s">
        <v>134</v>
      </c>
    </row>
    <row r="93" spans="1:10" x14ac:dyDescent="0.35">
      <c r="A93" s="13" t="s">
        <v>249</v>
      </c>
      <c r="B93" s="5">
        <v>11281775</v>
      </c>
      <c r="C93" s="5" t="s">
        <v>450</v>
      </c>
      <c r="D93" s="5">
        <v>50616</v>
      </c>
      <c r="E93" s="5">
        <v>168720</v>
      </c>
      <c r="F93" s="49">
        <f t="shared" si="1"/>
        <v>0.3</v>
      </c>
      <c r="G93" s="5" t="s">
        <v>336</v>
      </c>
      <c r="H93" s="5" t="s">
        <v>337</v>
      </c>
      <c r="I93" s="5">
        <v>2024</v>
      </c>
      <c r="J93" s="7" t="s">
        <v>250</v>
      </c>
    </row>
    <row r="94" spans="1:10" x14ac:dyDescent="0.35">
      <c r="A94" s="11" t="s">
        <v>249</v>
      </c>
      <c r="B94" s="4">
        <v>11281775</v>
      </c>
      <c r="C94" s="4" t="s">
        <v>451</v>
      </c>
      <c r="D94" s="4">
        <v>14210.6</v>
      </c>
      <c r="E94" s="4">
        <v>71053</v>
      </c>
      <c r="F94" s="47">
        <f t="shared" si="1"/>
        <v>0.2</v>
      </c>
      <c r="G94" s="4" t="s">
        <v>336</v>
      </c>
      <c r="H94" s="4" t="s">
        <v>337</v>
      </c>
      <c r="I94" s="4">
        <v>2024</v>
      </c>
      <c r="J94" s="12" t="s">
        <v>248</v>
      </c>
    </row>
    <row r="95" spans="1:10" x14ac:dyDescent="0.35">
      <c r="A95" s="13" t="s">
        <v>289</v>
      </c>
      <c r="B95" s="5">
        <v>10216540</v>
      </c>
      <c r="C95" s="5" t="s">
        <v>452</v>
      </c>
      <c r="D95" s="5">
        <v>37500</v>
      </c>
      <c r="E95" s="5">
        <v>75000</v>
      </c>
      <c r="F95" s="49">
        <f t="shared" si="1"/>
        <v>0.5</v>
      </c>
      <c r="G95" s="5" t="s">
        <v>336</v>
      </c>
      <c r="H95" s="5" t="s">
        <v>337</v>
      </c>
      <c r="I95" s="5">
        <v>2024</v>
      </c>
      <c r="J95" s="7" t="s">
        <v>288</v>
      </c>
    </row>
    <row r="96" spans="1:10" x14ac:dyDescent="0.35">
      <c r="A96" s="11" t="s">
        <v>152</v>
      </c>
      <c r="B96" s="4">
        <v>10377852</v>
      </c>
      <c r="C96" s="4" t="s">
        <v>453</v>
      </c>
      <c r="D96" s="4">
        <v>15600</v>
      </c>
      <c r="E96" s="4">
        <v>26000</v>
      </c>
      <c r="F96" s="47">
        <f t="shared" si="1"/>
        <v>0.6</v>
      </c>
      <c r="G96" s="4" t="s">
        <v>336</v>
      </c>
      <c r="H96" s="4" t="s">
        <v>337</v>
      </c>
      <c r="I96" s="4">
        <v>2025</v>
      </c>
      <c r="J96" s="12" t="s">
        <v>151</v>
      </c>
    </row>
    <row r="97" spans="1:10" x14ac:dyDescent="0.35">
      <c r="A97" s="13" t="s">
        <v>272</v>
      </c>
      <c r="B97" s="5">
        <v>10899349</v>
      </c>
      <c r="C97" s="5" t="s">
        <v>454</v>
      </c>
      <c r="D97" s="5">
        <v>38985.5</v>
      </c>
      <c r="E97" s="5">
        <v>77971</v>
      </c>
      <c r="F97" s="49">
        <f t="shared" si="1"/>
        <v>0.5</v>
      </c>
      <c r="G97" s="5" t="s">
        <v>336</v>
      </c>
      <c r="H97" s="5" t="s">
        <v>337</v>
      </c>
      <c r="I97" s="5">
        <v>2024</v>
      </c>
      <c r="J97" s="7" t="s">
        <v>626</v>
      </c>
    </row>
    <row r="98" spans="1:10" x14ac:dyDescent="0.35">
      <c r="A98" s="11" t="s">
        <v>236</v>
      </c>
      <c r="B98" s="4">
        <v>10798944</v>
      </c>
      <c r="C98" s="4" t="s">
        <v>455</v>
      </c>
      <c r="D98" s="4">
        <v>97494</v>
      </c>
      <c r="E98" s="4">
        <v>243735</v>
      </c>
      <c r="F98" s="47">
        <f t="shared" si="1"/>
        <v>0.4</v>
      </c>
      <c r="G98" s="4" t="s">
        <v>336</v>
      </c>
      <c r="H98" s="4" t="s">
        <v>337</v>
      </c>
      <c r="I98" s="4">
        <v>2024</v>
      </c>
      <c r="J98" s="12" t="s">
        <v>235</v>
      </c>
    </row>
    <row r="99" spans="1:10" x14ac:dyDescent="0.35">
      <c r="A99" s="13" t="s">
        <v>264</v>
      </c>
      <c r="B99" s="5">
        <v>10995277</v>
      </c>
      <c r="C99" s="5" t="s">
        <v>456</v>
      </c>
      <c r="D99" s="5">
        <v>10092</v>
      </c>
      <c r="E99" s="5">
        <v>25230</v>
      </c>
      <c r="F99" s="49">
        <f t="shared" si="1"/>
        <v>0.4</v>
      </c>
      <c r="G99" s="5" t="s">
        <v>336</v>
      </c>
      <c r="H99" s="5" t="s">
        <v>337</v>
      </c>
      <c r="I99" s="5">
        <v>2024</v>
      </c>
      <c r="J99" s="7" t="s">
        <v>263</v>
      </c>
    </row>
    <row r="100" spans="1:10" x14ac:dyDescent="0.35">
      <c r="A100" s="11" t="s">
        <v>457</v>
      </c>
      <c r="B100" s="4">
        <v>11203338</v>
      </c>
      <c r="C100" s="4" t="s">
        <v>458</v>
      </c>
      <c r="D100" s="4">
        <v>112750</v>
      </c>
      <c r="E100" s="4">
        <v>225500</v>
      </c>
      <c r="F100" s="47">
        <f t="shared" si="1"/>
        <v>0.5</v>
      </c>
      <c r="G100" s="4" t="s">
        <v>336</v>
      </c>
      <c r="H100" s="4" t="s">
        <v>337</v>
      </c>
      <c r="I100" s="4">
        <v>2023</v>
      </c>
      <c r="J100" s="12" t="s">
        <v>594</v>
      </c>
    </row>
    <row r="101" spans="1:10" x14ac:dyDescent="0.35">
      <c r="A101" s="13" t="s">
        <v>100</v>
      </c>
      <c r="B101" s="5">
        <v>10843455</v>
      </c>
      <c r="C101" s="5" t="s">
        <v>459</v>
      </c>
      <c r="D101" s="5">
        <v>141949.43</v>
      </c>
      <c r="E101" s="5">
        <v>236582.38</v>
      </c>
      <c r="F101" s="49">
        <f t="shared" si="1"/>
        <v>0.60000000845371493</v>
      </c>
      <c r="G101" s="5" t="s">
        <v>336</v>
      </c>
      <c r="H101" s="5" t="s">
        <v>337</v>
      </c>
      <c r="I101" s="5">
        <v>2025</v>
      </c>
      <c r="J101" s="7" t="s">
        <v>99</v>
      </c>
    </row>
    <row r="102" spans="1:10" x14ac:dyDescent="0.35">
      <c r="A102" s="11" t="s">
        <v>460</v>
      </c>
      <c r="B102" s="4">
        <v>10077274</v>
      </c>
      <c r="C102" s="4" t="s">
        <v>461</v>
      </c>
      <c r="D102" s="4">
        <v>17594.5</v>
      </c>
      <c r="E102" s="4">
        <v>35189</v>
      </c>
      <c r="F102" s="47">
        <f t="shared" si="1"/>
        <v>0.5</v>
      </c>
      <c r="G102" s="4" t="s">
        <v>336</v>
      </c>
      <c r="H102" s="4" t="s">
        <v>337</v>
      </c>
      <c r="I102" s="4">
        <v>2025</v>
      </c>
      <c r="J102" s="12" t="s">
        <v>178</v>
      </c>
    </row>
    <row r="103" spans="1:10" x14ac:dyDescent="0.35">
      <c r="A103" s="13" t="s">
        <v>62</v>
      </c>
      <c r="B103" s="5">
        <v>10218993</v>
      </c>
      <c r="C103" s="5" t="s">
        <v>462</v>
      </c>
      <c r="D103" s="5">
        <v>96186.2</v>
      </c>
      <c r="E103" s="5">
        <v>137616</v>
      </c>
      <c r="F103" s="49">
        <f t="shared" si="1"/>
        <v>0.6989463434484362</v>
      </c>
      <c r="G103" s="5" t="s">
        <v>336</v>
      </c>
      <c r="H103" s="5" t="s">
        <v>337</v>
      </c>
      <c r="I103" s="5">
        <v>2025</v>
      </c>
      <c r="J103" s="7" t="s">
        <v>61</v>
      </c>
    </row>
    <row r="104" spans="1:10" x14ac:dyDescent="0.35">
      <c r="A104" s="11" t="s">
        <v>463</v>
      </c>
      <c r="B104" s="4">
        <v>10975056</v>
      </c>
      <c r="C104" s="4" t="s">
        <v>464</v>
      </c>
      <c r="D104" s="4">
        <v>150000</v>
      </c>
      <c r="E104" s="4">
        <v>375000</v>
      </c>
      <c r="F104" s="47">
        <f t="shared" si="1"/>
        <v>0.4</v>
      </c>
      <c r="G104" s="4" t="s">
        <v>336</v>
      </c>
      <c r="H104" s="4" t="s">
        <v>337</v>
      </c>
      <c r="I104" s="4">
        <v>2024</v>
      </c>
      <c r="J104" s="12" t="s">
        <v>566</v>
      </c>
    </row>
    <row r="105" spans="1:10" x14ac:dyDescent="0.35">
      <c r="A105" s="13" t="s">
        <v>191</v>
      </c>
      <c r="B105" s="5">
        <v>10934040</v>
      </c>
      <c r="C105" s="5" t="s">
        <v>434</v>
      </c>
      <c r="D105" s="5">
        <v>35000</v>
      </c>
      <c r="E105" s="5">
        <v>70000</v>
      </c>
      <c r="F105" s="49">
        <f t="shared" si="1"/>
        <v>0.5</v>
      </c>
      <c r="G105" s="5" t="s">
        <v>336</v>
      </c>
      <c r="H105" s="5" t="s">
        <v>337</v>
      </c>
      <c r="I105" s="5">
        <v>2023</v>
      </c>
      <c r="J105" s="14" t="s">
        <v>627</v>
      </c>
    </row>
    <row r="106" spans="1:10" x14ac:dyDescent="0.35">
      <c r="A106" s="11" t="s">
        <v>270</v>
      </c>
      <c r="B106" s="4">
        <v>10269772</v>
      </c>
      <c r="C106" s="4" t="s">
        <v>466</v>
      </c>
      <c r="D106" s="4">
        <v>27500</v>
      </c>
      <c r="E106" s="4">
        <v>55000</v>
      </c>
      <c r="F106" s="47">
        <f t="shared" si="1"/>
        <v>0.5</v>
      </c>
      <c r="G106" s="4" t="s">
        <v>336</v>
      </c>
      <c r="H106" s="4" t="s">
        <v>337</v>
      </c>
      <c r="I106" s="4">
        <v>2024</v>
      </c>
      <c r="J106" s="12" t="s">
        <v>269</v>
      </c>
    </row>
    <row r="107" spans="1:10" x14ac:dyDescent="0.35">
      <c r="A107" s="13" t="s">
        <v>467</v>
      </c>
      <c r="B107" s="5">
        <v>10626249</v>
      </c>
      <c r="C107" s="5" t="s">
        <v>468</v>
      </c>
      <c r="D107" s="5">
        <v>404427.2</v>
      </c>
      <c r="E107" s="5">
        <v>1011068</v>
      </c>
      <c r="F107" s="49">
        <f t="shared" si="1"/>
        <v>0.4</v>
      </c>
      <c r="G107" s="5" t="s">
        <v>336</v>
      </c>
      <c r="H107" s="5" t="s">
        <v>337</v>
      </c>
      <c r="I107" s="5">
        <v>2023</v>
      </c>
      <c r="J107" s="7" t="s">
        <v>606</v>
      </c>
    </row>
    <row r="108" spans="1:10" x14ac:dyDescent="0.35">
      <c r="A108" s="11" t="s">
        <v>276</v>
      </c>
      <c r="B108" s="4">
        <v>10165009</v>
      </c>
      <c r="C108" s="4" t="s">
        <v>469</v>
      </c>
      <c r="D108" s="4">
        <v>9753</v>
      </c>
      <c r="E108" s="4">
        <v>19506</v>
      </c>
      <c r="F108" s="47">
        <f t="shared" si="1"/>
        <v>0.5</v>
      </c>
      <c r="G108" s="4" t="s">
        <v>336</v>
      </c>
      <c r="H108" s="4" t="s">
        <v>337</v>
      </c>
      <c r="I108" s="4">
        <v>2024</v>
      </c>
      <c r="J108" s="12" t="s">
        <v>275</v>
      </c>
    </row>
    <row r="109" spans="1:10" x14ac:dyDescent="0.35">
      <c r="A109" s="13" t="s">
        <v>255</v>
      </c>
      <c r="B109" s="5">
        <v>11006552</v>
      </c>
      <c r="C109" s="5" t="s">
        <v>498</v>
      </c>
      <c r="D109" s="5">
        <v>31122.66</v>
      </c>
      <c r="E109" s="5">
        <v>62245.32</v>
      </c>
      <c r="F109" s="49">
        <f t="shared" si="1"/>
        <v>0.5</v>
      </c>
      <c r="G109" s="5" t="s">
        <v>336</v>
      </c>
      <c r="H109" s="5" t="s">
        <v>337</v>
      </c>
      <c r="I109" s="5">
        <v>2024</v>
      </c>
      <c r="J109" s="14" t="s">
        <v>628</v>
      </c>
    </row>
    <row r="110" spans="1:10" x14ac:dyDescent="0.35">
      <c r="A110" s="11" t="s">
        <v>170</v>
      </c>
      <c r="B110" s="4">
        <v>10021405</v>
      </c>
      <c r="C110" s="4" t="s">
        <v>471</v>
      </c>
      <c r="D110" s="4">
        <v>35000</v>
      </c>
      <c r="E110" s="4">
        <v>50000</v>
      </c>
      <c r="F110" s="47">
        <f t="shared" si="1"/>
        <v>0.7</v>
      </c>
      <c r="G110" s="4" t="s">
        <v>336</v>
      </c>
      <c r="H110" s="4" t="s">
        <v>337</v>
      </c>
      <c r="I110" s="4">
        <v>2025</v>
      </c>
      <c r="J110" s="12" t="s">
        <v>169</v>
      </c>
    </row>
    <row r="111" spans="1:10" x14ac:dyDescent="0.35">
      <c r="A111" s="13" t="s">
        <v>78</v>
      </c>
      <c r="B111" s="5">
        <v>10302662</v>
      </c>
      <c r="C111" s="5" t="s">
        <v>472</v>
      </c>
      <c r="D111" s="5">
        <v>42500</v>
      </c>
      <c r="E111" s="5">
        <v>85000</v>
      </c>
      <c r="F111" s="49">
        <f t="shared" si="1"/>
        <v>0.5</v>
      </c>
      <c r="G111" s="5" t="s">
        <v>336</v>
      </c>
      <c r="H111" s="5" t="s">
        <v>337</v>
      </c>
      <c r="I111" s="5">
        <v>2024</v>
      </c>
      <c r="J111" s="7" t="s">
        <v>256</v>
      </c>
    </row>
    <row r="112" spans="1:10" x14ac:dyDescent="0.35">
      <c r="A112" s="11" t="s">
        <v>78</v>
      </c>
      <c r="B112" s="4">
        <v>10302662</v>
      </c>
      <c r="C112" s="4" t="s">
        <v>473</v>
      </c>
      <c r="D112" s="4">
        <v>55930</v>
      </c>
      <c r="E112" s="4">
        <v>79900</v>
      </c>
      <c r="F112" s="47">
        <f t="shared" si="1"/>
        <v>0.7</v>
      </c>
      <c r="G112" s="4" t="s">
        <v>336</v>
      </c>
      <c r="H112" s="4" t="s">
        <v>337</v>
      </c>
      <c r="I112" s="4">
        <v>2025</v>
      </c>
      <c r="J112" s="12" t="s">
        <v>77</v>
      </c>
    </row>
    <row r="113" spans="1:10" x14ac:dyDescent="0.35">
      <c r="A113" s="13" t="s">
        <v>474</v>
      </c>
      <c r="B113" s="5">
        <v>10207067</v>
      </c>
      <c r="C113" s="5" t="s">
        <v>475</v>
      </c>
      <c r="D113" s="5">
        <v>437597.7</v>
      </c>
      <c r="E113" s="5">
        <v>1458659</v>
      </c>
      <c r="F113" s="49">
        <f t="shared" si="1"/>
        <v>0.3</v>
      </c>
      <c r="G113" s="5" t="s">
        <v>336</v>
      </c>
      <c r="H113" s="5" t="s">
        <v>337</v>
      </c>
      <c r="I113" s="5">
        <v>2024</v>
      </c>
      <c r="J113" s="7" t="s">
        <v>579</v>
      </c>
    </row>
    <row r="114" spans="1:10" x14ac:dyDescent="0.35">
      <c r="A114" s="11" t="s">
        <v>54</v>
      </c>
      <c r="B114" s="4">
        <v>11494695</v>
      </c>
      <c r="C114" s="4" t="s">
        <v>476</v>
      </c>
      <c r="D114" s="4">
        <v>86492</v>
      </c>
      <c r="E114" s="4">
        <v>123560</v>
      </c>
      <c r="F114" s="47">
        <f t="shared" si="1"/>
        <v>0.7</v>
      </c>
      <c r="G114" s="4" t="s">
        <v>336</v>
      </c>
      <c r="H114" s="4" t="s">
        <v>337</v>
      </c>
      <c r="I114" s="4">
        <v>2025</v>
      </c>
      <c r="J114" s="12" t="s">
        <v>53</v>
      </c>
    </row>
    <row r="115" spans="1:10" x14ac:dyDescent="0.35">
      <c r="A115" s="13" t="s">
        <v>477</v>
      </c>
      <c r="B115" s="5">
        <v>10160503</v>
      </c>
      <c r="C115" s="5" t="s">
        <v>478</v>
      </c>
      <c r="D115" s="5">
        <v>222000</v>
      </c>
      <c r="E115" s="5">
        <v>555000</v>
      </c>
      <c r="F115" s="49">
        <f t="shared" si="1"/>
        <v>0.4</v>
      </c>
      <c r="G115" s="5" t="s">
        <v>336</v>
      </c>
      <c r="H115" s="5" t="s">
        <v>337</v>
      </c>
      <c r="I115" s="5">
        <v>2024</v>
      </c>
      <c r="J115" s="7" t="s">
        <v>585</v>
      </c>
    </row>
    <row r="116" spans="1:10" x14ac:dyDescent="0.35">
      <c r="A116" s="11" t="s">
        <v>479</v>
      </c>
      <c r="B116" s="4">
        <v>10548087</v>
      </c>
      <c r="C116" s="4" t="s">
        <v>480</v>
      </c>
      <c r="D116" s="4">
        <v>128000</v>
      </c>
      <c r="E116" s="4">
        <v>320000</v>
      </c>
      <c r="F116" s="47">
        <f t="shared" si="1"/>
        <v>0.4</v>
      </c>
      <c r="G116" s="4" t="s">
        <v>336</v>
      </c>
      <c r="H116" s="4" t="s">
        <v>337</v>
      </c>
      <c r="I116" s="4">
        <v>2023</v>
      </c>
      <c r="J116" s="12" t="s">
        <v>603</v>
      </c>
    </row>
    <row r="117" spans="1:10" x14ac:dyDescent="0.35">
      <c r="A117" s="13" t="s">
        <v>481</v>
      </c>
      <c r="B117" s="5">
        <v>10322549</v>
      </c>
      <c r="C117" s="5" t="s">
        <v>482</v>
      </c>
      <c r="D117" s="5">
        <v>140000</v>
      </c>
      <c r="E117" s="5">
        <v>350000</v>
      </c>
      <c r="F117" s="49">
        <f t="shared" si="1"/>
        <v>0.4</v>
      </c>
      <c r="G117" s="5" t="s">
        <v>336</v>
      </c>
      <c r="H117" s="5" t="s">
        <v>337</v>
      </c>
      <c r="I117" s="5">
        <v>2024</v>
      </c>
      <c r="J117" s="7" t="s">
        <v>573</v>
      </c>
    </row>
    <row r="118" spans="1:10" x14ac:dyDescent="0.35">
      <c r="A118" s="11" t="s">
        <v>75</v>
      </c>
      <c r="B118" s="4">
        <v>10582240</v>
      </c>
      <c r="C118" s="4" t="s">
        <v>483</v>
      </c>
      <c r="D118" s="4">
        <v>13930</v>
      </c>
      <c r="E118" s="4">
        <v>19900</v>
      </c>
      <c r="F118" s="47">
        <f t="shared" si="1"/>
        <v>0.7</v>
      </c>
      <c r="G118" s="4" t="s">
        <v>336</v>
      </c>
      <c r="H118" s="4" t="s">
        <v>337</v>
      </c>
      <c r="I118" s="4">
        <v>2025</v>
      </c>
      <c r="J118" s="12" t="s">
        <v>74</v>
      </c>
    </row>
    <row r="119" spans="1:10" x14ac:dyDescent="0.35">
      <c r="A119" s="13" t="s">
        <v>117</v>
      </c>
      <c r="B119" s="5">
        <v>10974750</v>
      </c>
      <c r="C119" s="5" t="s">
        <v>484</v>
      </c>
      <c r="D119" s="5">
        <v>17531.5</v>
      </c>
      <c r="E119" s="5">
        <v>25045</v>
      </c>
      <c r="F119" s="49">
        <f t="shared" si="1"/>
        <v>0.7</v>
      </c>
      <c r="G119" s="5" t="s">
        <v>336</v>
      </c>
      <c r="H119" s="5" t="s">
        <v>337</v>
      </c>
      <c r="I119" s="5">
        <v>2025</v>
      </c>
      <c r="J119" s="7" t="s">
        <v>116</v>
      </c>
    </row>
    <row r="120" spans="1:10" x14ac:dyDescent="0.35">
      <c r="A120" s="11" t="s">
        <v>228</v>
      </c>
      <c r="B120" s="4">
        <v>10853367</v>
      </c>
      <c r="C120" s="4" t="s">
        <v>485</v>
      </c>
      <c r="D120" s="4">
        <v>101332.5</v>
      </c>
      <c r="E120" s="4">
        <v>202665</v>
      </c>
      <c r="F120" s="47">
        <f t="shared" si="1"/>
        <v>0.5</v>
      </c>
      <c r="G120" s="4" t="s">
        <v>336</v>
      </c>
      <c r="H120" s="4" t="s">
        <v>337</v>
      </c>
      <c r="I120" s="4">
        <v>2024</v>
      </c>
      <c r="J120" s="12" t="s">
        <v>227</v>
      </c>
    </row>
    <row r="121" spans="1:10" x14ac:dyDescent="0.35">
      <c r="A121" s="13" t="s">
        <v>486</v>
      </c>
      <c r="B121" s="5">
        <v>10900160</v>
      </c>
      <c r="C121" s="5" t="s">
        <v>487</v>
      </c>
      <c r="D121" s="5">
        <v>93089.2</v>
      </c>
      <c r="E121" s="5">
        <v>232723</v>
      </c>
      <c r="F121" s="49">
        <f t="shared" si="1"/>
        <v>0.39999999999999997</v>
      </c>
      <c r="G121" s="5" t="s">
        <v>336</v>
      </c>
      <c r="H121" s="5" t="s">
        <v>337</v>
      </c>
      <c r="I121" s="5">
        <v>2024</v>
      </c>
      <c r="J121" s="7" t="s">
        <v>557</v>
      </c>
    </row>
    <row r="122" spans="1:10" x14ac:dyDescent="0.35">
      <c r="A122" s="11" t="s">
        <v>206</v>
      </c>
      <c r="B122" s="4">
        <v>10697462</v>
      </c>
      <c r="C122" s="4" t="s">
        <v>488</v>
      </c>
      <c r="D122" s="4">
        <v>78180.11</v>
      </c>
      <c r="E122" s="4">
        <v>156360.22</v>
      </c>
      <c r="F122" s="47">
        <f t="shared" si="1"/>
        <v>0.5</v>
      </c>
      <c r="G122" s="4" t="s">
        <v>336</v>
      </c>
      <c r="H122" s="4" t="s">
        <v>337</v>
      </c>
      <c r="I122" s="4">
        <v>2024</v>
      </c>
      <c r="J122" s="12" t="s">
        <v>205</v>
      </c>
    </row>
    <row r="123" spans="1:10" x14ac:dyDescent="0.35">
      <c r="A123" s="13" t="s">
        <v>127</v>
      </c>
      <c r="B123" s="5">
        <v>10333719</v>
      </c>
      <c r="C123" s="5" t="s">
        <v>489</v>
      </c>
      <c r="D123" s="5">
        <v>100000</v>
      </c>
      <c r="E123" s="5">
        <v>250000</v>
      </c>
      <c r="F123" s="49">
        <f t="shared" si="1"/>
        <v>0.4</v>
      </c>
      <c r="G123" s="5" t="s">
        <v>336</v>
      </c>
      <c r="H123" s="5" t="s">
        <v>337</v>
      </c>
      <c r="I123" s="5">
        <v>2025</v>
      </c>
      <c r="J123" s="7" t="s">
        <v>126</v>
      </c>
    </row>
    <row r="124" spans="1:10" x14ac:dyDescent="0.35">
      <c r="A124" s="11" t="s">
        <v>267</v>
      </c>
      <c r="B124" s="4">
        <v>11317450</v>
      </c>
      <c r="C124" s="4" t="s">
        <v>490</v>
      </c>
      <c r="D124" s="4">
        <v>43000</v>
      </c>
      <c r="E124" s="4">
        <v>86000</v>
      </c>
      <c r="F124" s="47">
        <f t="shared" si="1"/>
        <v>0.5</v>
      </c>
      <c r="G124" s="4" t="s">
        <v>336</v>
      </c>
      <c r="H124" s="4" t="s">
        <v>337</v>
      </c>
      <c r="I124" s="4">
        <v>2024</v>
      </c>
      <c r="J124" s="12" t="s">
        <v>266</v>
      </c>
    </row>
    <row r="125" spans="1:10" x14ac:dyDescent="0.35">
      <c r="A125" s="13" t="s">
        <v>491</v>
      </c>
      <c r="B125" s="5">
        <v>11707056</v>
      </c>
      <c r="C125" s="5" t="s">
        <v>492</v>
      </c>
      <c r="D125" s="5">
        <v>116700</v>
      </c>
      <c r="E125" s="5">
        <v>389000</v>
      </c>
      <c r="F125" s="49">
        <f t="shared" si="1"/>
        <v>0.3</v>
      </c>
      <c r="G125" s="5" t="s">
        <v>336</v>
      </c>
      <c r="H125" s="5" t="s">
        <v>337</v>
      </c>
      <c r="I125" s="5">
        <v>2023</v>
      </c>
      <c r="J125" s="7" t="s">
        <v>595</v>
      </c>
    </row>
    <row r="126" spans="1:10" x14ac:dyDescent="0.35">
      <c r="A126" s="11" t="s">
        <v>493</v>
      </c>
      <c r="B126" s="4">
        <v>12068782</v>
      </c>
      <c r="C126" s="4" t="s">
        <v>494</v>
      </c>
      <c r="D126" s="4">
        <v>500000</v>
      </c>
      <c r="E126" s="4">
        <v>1666666.67</v>
      </c>
      <c r="F126" s="47">
        <f t="shared" si="1"/>
        <v>0.29999999939999999</v>
      </c>
      <c r="G126" s="4" t="s">
        <v>336</v>
      </c>
      <c r="H126" s="4" t="s">
        <v>337</v>
      </c>
      <c r="I126" s="4">
        <v>2024</v>
      </c>
      <c r="J126" s="12" t="s">
        <v>582</v>
      </c>
    </row>
    <row r="127" spans="1:10" x14ac:dyDescent="0.35">
      <c r="A127" s="13" t="s">
        <v>495</v>
      </c>
      <c r="B127" s="5">
        <v>10770584</v>
      </c>
      <c r="C127" s="5" t="s">
        <v>496</v>
      </c>
      <c r="D127" s="5">
        <v>72800</v>
      </c>
      <c r="E127" s="5">
        <v>182000</v>
      </c>
      <c r="F127" s="49">
        <f t="shared" si="1"/>
        <v>0.4</v>
      </c>
      <c r="G127" s="5" t="s">
        <v>336</v>
      </c>
      <c r="H127" s="5" t="s">
        <v>337</v>
      </c>
      <c r="I127" s="5">
        <v>2023</v>
      </c>
      <c r="J127" s="7" t="s">
        <v>597</v>
      </c>
    </row>
    <row r="128" spans="1:10" x14ac:dyDescent="0.35">
      <c r="A128" s="11" t="s">
        <v>247</v>
      </c>
      <c r="B128" s="4">
        <v>11162830</v>
      </c>
      <c r="C128" s="4" t="s">
        <v>497</v>
      </c>
      <c r="D128" s="4">
        <v>10960.5</v>
      </c>
      <c r="E128" s="4">
        <v>36535</v>
      </c>
      <c r="F128" s="47">
        <f t="shared" si="1"/>
        <v>0.3</v>
      </c>
      <c r="G128" s="4" t="s">
        <v>336</v>
      </c>
      <c r="H128" s="4" t="s">
        <v>337</v>
      </c>
      <c r="I128" s="4">
        <v>2024</v>
      </c>
      <c r="J128" s="12" t="s">
        <v>246</v>
      </c>
    </row>
    <row r="129" spans="1:10" x14ac:dyDescent="0.35">
      <c r="A129" s="13" t="s">
        <v>315</v>
      </c>
      <c r="B129" s="5">
        <v>11139468</v>
      </c>
      <c r="C129" s="5" t="s">
        <v>381</v>
      </c>
      <c r="D129" s="5">
        <v>72000</v>
      </c>
      <c r="E129" s="5">
        <v>240000</v>
      </c>
      <c r="F129" s="49">
        <f t="shared" si="1"/>
        <v>0.3</v>
      </c>
      <c r="G129" s="5" t="s">
        <v>336</v>
      </c>
      <c r="H129" s="5" t="s">
        <v>337</v>
      </c>
      <c r="I129" s="5">
        <v>2023</v>
      </c>
      <c r="J129" s="7" t="s">
        <v>629</v>
      </c>
    </row>
    <row r="130" spans="1:10" x14ac:dyDescent="0.35">
      <c r="A130" s="11" t="s">
        <v>499</v>
      </c>
      <c r="B130" s="4">
        <v>10218131</v>
      </c>
      <c r="C130" s="4" t="s">
        <v>500</v>
      </c>
      <c r="D130" s="4">
        <v>25950</v>
      </c>
      <c r="E130" s="4">
        <v>51900</v>
      </c>
      <c r="F130" s="47">
        <f t="shared" si="1"/>
        <v>0.5</v>
      </c>
      <c r="G130" s="4" t="s">
        <v>336</v>
      </c>
      <c r="H130" s="4" t="s">
        <v>337</v>
      </c>
      <c r="I130" s="4">
        <v>2024</v>
      </c>
      <c r="J130" s="12" t="s">
        <v>185</v>
      </c>
    </row>
    <row r="131" spans="1:10" x14ac:dyDescent="0.35">
      <c r="A131" s="13" t="s">
        <v>96</v>
      </c>
      <c r="B131" s="5">
        <v>14583784</v>
      </c>
      <c r="C131" s="5" t="s">
        <v>501</v>
      </c>
      <c r="D131" s="5">
        <v>24797.119999999999</v>
      </c>
      <c r="E131" s="5">
        <v>35424.46</v>
      </c>
      <c r="F131" s="49">
        <f t="shared" ref="F131:F168" si="2">D131/E131</f>
        <v>0.69999994354183526</v>
      </c>
      <c r="G131" s="5" t="s">
        <v>336</v>
      </c>
      <c r="H131" s="5" t="s">
        <v>337</v>
      </c>
      <c r="I131" s="5">
        <v>2025</v>
      </c>
      <c r="J131" s="7" t="s">
        <v>98</v>
      </c>
    </row>
    <row r="132" spans="1:10" x14ac:dyDescent="0.35">
      <c r="A132" s="11" t="s">
        <v>96</v>
      </c>
      <c r="B132" s="4">
        <v>14583784</v>
      </c>
      <c r="C132" s="4" t="s">
        <v>502</v>
      </c>
      <c r="D132" s="4">
        <v>117248.67</v>
      </c>
      <c r="E132" s="4">
        <v>167498.1</v>
      </c>
      <c r="F132" s="47">
        <f t="shared" si="2"/>
        <v>0.7</v>
      </c>
      <c r="G132" s="4" t="s">
        <v>336</v>
      </c>
      <c r="H132" s="4" t="s">
        <v>337</v>
      </c>
      <c r="I132" s="4">
        <v>2025</v>
      </c>
      <c r="J132" s="12" t="s">
        <v>95</v>
      </c>
    </row>
    <row r="133" spans="1:10" x14ac:dyDescent="0.35">
      <c r="A133" s="13" t="s">
        <v>231</v>
      </c>
      <c r="B133" s="5">
        <v>12365907</v>
      </c>
      <c r="C133" s="5" t="s">
        <v>503</v>
      </c>
      <c r="D133" s="5">
        <v>138907.22</v>
      </c>
      <c r="E133" s="5">
        <v>277814.43</v>
      </c>
      <c r="F133" s="49">
        <f t="shared" si="2"/>
        <v>0.50000001799762528</v>
      </c>
      <c r="G133" s="5" t="s">
        <v>336</v>
      </c>
      <c r="H133" s="5" t="s">
        <v>337</v>
      </c>
      <c r="I133" s="5">
        <v>2024</v>
      </c>
      <c r="J133" s="7" t="s">
        <v>230</v>
      </c>
    </row>
    <row r="134" spans="1:10" x14ac:dyDescent="0.35">
      <c r="A134" s="11" t="s">
        <v>103</v>
      </c>
      <c r="B134" s="4">
        <v>12125020</v>
      </c>
      <c r="C134" s="4" t="s">
        <v>504</v>
      </c>
      <c r="D134" s="4">
        <v>10488.8</v>
      </c>
      <c r="E134" s="4">
        <v>14984</v>
      </c>
      <c r="F134" s="47">
        <f t="shared" si="2"/>
        <v>0.7</v>
      </c>
      <c r="G134" s="4" t="s">
        <v>336</v>
      </c>
      <c r="H134" s="4" t="s">
        <v>337</v>
      </c>
      <c r="I134" s="4">
        <v>2025</v>
      </c>
      <c r="J134" s="12" t="s">
        <v>102</v>
      </c>
    </row>
    <row r="135" spans="1:10" x14ac:dyDescent="0.35">
      <c r="A135" s="13" t="s">
        <v>505</v>
      </c>
      <c r="B135" s="5">
        <v>10842489</v>
      </c>
      <c r="C135" s="5" t="s">
        <v>506</v>
      </c>
      <c r="D135" s="5">
        <v>132000</v>
      </c>
      <c r="E135" s="5">
        <v>330000</v>
      </c>
      <c r="F135" s="49">
        <f t="shared" si="2"/>
        <v>0.4</v>
      </c>
      <c r="G135" s="5" t="s">
        <v>336</v>
      </c>
      <c r="H135" s="5" t="s">
        <v>337</v>
      </c>
      <c r="I135" s="5">
        <v>2023</v>
      </c>
      <c r="J135" s="7" t="s">
        <v>601</v>
      </c>
    </row>
    <row r="136" spans="1:10" x14ac:dyDescent="0.35">
      <c r="A136" s="11" t="s">
        <v>241</v>
      </c>
      <c r="B136" s="4">
        <v>12509981</v>
      </c>
      <c r="C136" s="4" t="s">
        <v>507</v>
      </c>
      <c r="D136" s="4">
        <v>16240.8</v>
      </c>
      <c r="E136" s="4">
        <v>40602</v>
      </c>
      <c r="F136" s="47">
        <f t="shared" si="2"/>
        <v>0.39999999999999997</v>
      </c>
      <c r="G136" s="4" t="s">
        <v>336</v>
      </c>
      <c r="H136" s="4" t="s">
        <v>337</v>
      </c>
      <c r="I136" s="4">
        <v>2024</v>
      </c>
      <c r="J136" s="12" t="s">
        <v>240</v>
      </c>
    </row>
    <row r="137" spans="1:10" x14ac:dyDescent="0.35">
      <c r="A137" s="13" t="s">
        <v>72</v>
      </c>
      <c r="B137" s="5">
        <v>14137688</v>
      </c>
      <c r="C137" s="5" t="s">
        <v>508</v>
      </c>
      <c r="D137" s="5">
        <v>27540</v>
      </c>
      <c r="E137" s="5">
        <v>45900</v>
      </c>
      <c r="F137" s="49">
        <f t="shared" si="2"/>
        <v>0.6</v>
      </c>
      <c r="G137" s="5" t="s">
        <v>336</v>
      </c>
      <c r="H137" s="5" t="s">
        <v>337</v>
      </c>
      <c r="I137" s="5">
        <v>2025</v>
      </c>
      <c r="J137" s="7" t="s">
        <v>71</v>
      </c>
    </row>
    <row r="138" spans="1:10" x14ac:dyDescent="0.35">
      <c r="A138" s="11" t="s">
        <v>509</v>
      </c>
      <c r="B138" s="4">
        <v>10664066</v>
      </c>
      <c r="C138" s="4" t="s">
        <v>510</v>
      </c>
      <c r="D138" s="4">
        <v>46500</v>
      </c>
      <c r="E138" s="4">
        <v>93000</v>
      </c>
      <c r="F138" s="47">
        <f t="shared" si="2"/>
        <v>0.5</v>
      </c>
      <c r="G138" s="4" t="s">
        <v>336</v>
      </c>
      <c r="H138" s="4" t="s">
        <v>337</v>
      </c>
      <c r="I138" s="4">
        <v>2024</v>
      </c>
      <c r="J138" s="12" t="s">
        <v>570</v>
      </c>
    </row>
    <row r="139" spans="1:10" x14ac:dyDescent="0.35">
      <c r="A139" s="13" t="s">
        <v>57</v>
      </c>
      <c r="B139" s="5">
        <v>10883041</v>
      </c>
      <c r="C139" s="5" t="s">
        <v>511</v>
      </c>
      <c r="D139" s="5">
        <v>152689.70000000001</v>
      </c>
      <c r="E139" s="5">
        <v>254482.84</v>
      </c>
      <c r="F139" s="49">
        <f t="shared" si="2"/>
        <v>0.59999998428184786</v>
      </c>
      <c r="G139" s="5" t="s">
        <v>336</v>
      </c>
      <c r="H139" s="5" t="s">
        <v>337</v>
      </c>
      <c r="I139" s="5">
        <v>2025</v>
      </c>
      <c r="J139" s="7" t="s">
        <v>56</v>
      </c>
    </row>
    <row r="140" spans="1:10" x14ac:dyDescent="0.35">
      <c r="A140" s="11" t="s">
        <v>512</v>
      </c>
      <c r="B140" s="4">
        <v>11439130</v>
      </c>
      <c r="C140" s="4" t="s">
        <v>513</v>
      </c>
      <c r="D140" s="4">
        <v>5128.5</v>
      </c>
      <c r="E140" s="4">
        <v>10257</v>
      </c>
      <c r="F140" s="47">
        <f t="shared" si="2"/>
        <v>0.5</v>
      </c>
      <c r="G140" s="4" t="s">
        <v>336</v>
      </c>
      <c r="H140" s="4" t="s">
        <v>337</v>
      </c>
      <c r="I140" s="4">
        <v>2024</v>
      </c>
      <c r="J140" s="12" t="s">
        <v>584</v>
      </c>
    </row>
    <row r="141" spans="1:10" x14ac:dyDescent="0.35">
      <c r="A141" s="13" t="s">
        <v>514</v>
      </c>
      <c r="B141" s="5">
        <v>12360784</v>
      </c>
      <c r="C141" s="5" t="s">
        <v>515</v>
      </c>
      <c r="D141" s="5">
        <v>59200</v>
      </c>
      <c r="E141" s="5">
        <v>148000</v>
      </c>
      <c r="F141" s="49">
        <f t="shared" si="2"/>
        <v>0.4</v>
      </c>
      <c r="G141" s="5" t="s">
        <v>336</v>
      </c>
      <c r="H141" s="5" t="s">
        <v>337</v>
      </c>
      <c r="I141" s="5">
        <v>2023</v>
      </c>
      <c r="J141" s="7" t="s">
        <v>598</v>
      </c>
    </row>
    <row r="142" spans="1:10" x14ac:dyDescent="0.35">
      <c r="A142" s="11" t="s">
        <v>516</v>
      </c>
      <c r="B142" s="4">
        <v>10533890</v>
      </c>
      <c r="C142" s="4" t="s">
        <v>517</v>
      </c>
      <c r="D142" s="4">
        <v>500000</v>
      </c>
      <c r="E142" s="4">
        <v>1250000</v>
      </c>
      <c r="F142" s="47">
        <f t="shared" si="2"/>
        <v>0.4</v>
      </c>
      <c r="G142" s="4" t="s">
        <v>336</v>
      </c>
      <c r="H142" s="4" t="s">
        <v>337</v>
      </c>
      <c r="I142" s="4">
        <v>2024</v>
      </c>
      <c r="J142" s="12" t="s">
        <v>575</v>
      </c>
    </row>
    <row r="143" spans="1:10" x14ac:dyDescent="0.35">
      <c r="A143" s="13" t="s">
        <v>518</v>
      </c>
      <c r="B143" s="5">
        <v>11103097</v>
      </c>
      <c r="C143" s="5" t="s">
        <v>519</v>
      </c>
      <c r="D143" s="5">
        <v>45920</v>
      </c>
      <c r="E143" s="5">
        <v>65600</v>
      </c>
      <c r="F143" s="49">
        <f t="shared" si="2"/>
        <v>0.7</v>
      </c>
      <c r="G143" s="5" t="s">
        <v>336</v>
      </c>
      <c r="H143" s="5" t="s">
        <v>337</v>
      </c>
      <c r="I143" s="5">
        <v>2025</v>
      </c>
      <c r="J143" s="7" t="s">
        <v>141</v>
      </c>
    </row>
    <row r="144" spans="1:10" x14ac:dyDescent="0.35">
      <c r="A144" s="11" t="s">
        <v>520</v>
      </c>
      <c r="B144" s="4">
        <v>10731489</v>
      </c>
      <c r="C144" s="4" t="s">
        <v>521</v>
      </c>
      <c r="D144" s="4">
        <v>177000</v>
      </c>
      <c r="E144" s="4">
        <v>885000</v>
      </c>
      <c r="F144" s="47">
        <f t="shared" si="2"/>
        <v>0.2</v>
      </c>
      <c r="G144" s="4" t="s">
        <v>336</v>
      </c>
      <c r="H144" s="4" t="s">
        <v>337</v>
      </c>
      <c r="I144" s="4">
        <v>2024</v>
      </c>
      <c r="J144" s="12" t="s">
        <v>576</v>
      </c>
    </row>
    <row r="145" spans="1:10" x14ac:dyDescent="0.35">
      <c r="A145" s="13" t="s">
        <v>81</v>
      </c>
      <c r="B145" s="5">
        <v>12842247</v>
      </c>
      <c r="C145" s="5" t="s">
        <v>522</v>
      </c>
      <c r="D145" s="5">
        <v>34918.1</v>
      </c>
      <c r="E145" s="5">
        <v>49883</v>
      </c>
      <c r="F145" s="49">
        <f t="shared" si="2"/>
        <v>0.7</v>
      </c>
      <c r="G145" s="5" t="s">
        <v>336</v>
      </c>
      <c r="H145" s="5" t="s">
        <v>337</v>
      </c>
      <c r="I145" s="5">
        <v>2025</v>
      </c>
      <c r="J145" s="7" t="s">
        <v>80</v>
      </c>
    </row>
    <row r="146" spans="1:10" x14ac:dyDescent="0.35">
      <c r="A146" s="11" t="s">
        <v>157</v>
      </c>
      <c r="B146" s="4">
        <v>10703665</v>
      </c>
      <c r="C146" s="4" t="s">
        <v>523</v>
      </c>
      <c r="D146" s="4">
        <v>83831</v>
      </c>
      <c r="E146" s="4">
        <v>167662</v>
      </c>
      <c r="F146" s="47">
        <f t="shared" si="2"/>
        <v>0.5</v>
      </c>
      <c r="G146" s="4" t="s">
        <v>336</v>
      </c>
      <c r="H146" s="4" t="s">
        <v>337</v>
      </c>
      <c r="I146" s="4">
        <v>2025</v>
      </c>
      <c r="J146" s="12" t="s">
        <v>159</v>
      </c>
    </row>
    <row r="147" spans="1:10" x14ac:dyDescent="0.35">
      <c r="A147" s="13" t="s">
        <v>157</v>
      </c>
      <c r="B147" s="5">
        <v>10703665</v>
      </c>
      <c r="C147" s="5" t="s">
        <v>524</v>
      </c>
      <c r="D147" s="5">
        <v>48918.6</v>
      </c>
      <c r="E147" s="5">
        <v>81531</v>
      </c>
      <c r="F147" s="49">
        <f t="shared" si="2"/>
        <v>0.6</v>
      </c>
      <c r="G147" s="5" t="s">
        <v>336</v>
      </c>
      <c r="H147" s="5" t="s">
        <v>337</v>
      </c>
      <c r="I147" s="5">
        <v>2025</v>
      </c>
      <c r="J147" s="7" t="s">
        <v>156</v>
      </c>
    </row>
    <row r="148" spans="1:10" x14ac:dyDescent="0.35">
      <c r="A148" s="11" t="s">
        <v>188</v>
      </c>
      <c r="B148" s="4">
        <v>10082335</v>
      </c>
      <c r="C148" s="4" t="s">
        <v>525</v>
      </c>
      <c r="D148" s="4">
        <v>48000</v>
      </c>
      <c r="E148" s="4">
        <v>160000</v>
      </c>
      <c r="F148" s="47">
        <f t="shared" si="2"/>
        <v>0.3</v>
      </c>
      <c r="G148" s="4" t="s">
        <v>336</v>
      </c>
      <c r="H148" s="4" t="s">
        <v>337</v>
      </c>
      <c r="I148" s="4">
        <v>2024</v>
      </c>
      <c r="J148" s="12" t="s">
        <v>187</v>
      </c>
    </row>
    <row r="149" spans="1:10" x14ac:dyDescent="0.35">
      <c r="A149" s="13" t="s">
        <v>238</v>
      </c>
      <c r="B149" s="5">
        <v>11617071</v>
      </c>
      <c r="C149" s="5" t="s">
        <v>526</v>
      </c>
      <c r="D149" s="5">
        <v>23888.3</v>
      </c>
      <c r="E149" s="5">
        <v>47776.6</v>
      </c>
      <c r="F149" s="49">
        <f t="shared" si="2"/>
        <v>0.5</v>
      </c>
      <c r="G149" s="5" t="s">
        <v>336</v>
      </c>
      <c r="H149" s="5" t="s">
        <v>337</v>
      </c>
      <c r="I149" s="5">
        <v>2024</v>
      </c>
      <c r="J149" s="7" t="s">
        <v>237</v>
      </c>
    </row>
    <row r="150" spans="1:10" x14ac:dyDescent="0.35">
      <c r="A150" s="11" t="s">
        <v>120</v>
      </c>
      <c r="B150" s="4">
        <v>12423131</v>
      </c>
      <c r="C150" s="4" t="s">
        <v>527</v>
      </c>
      <c r="D150" s="4">
        <v>83613.91</v>
      </c>
      <c r="E150" s="4">
        <v>139356.51999999999</v>
      </c>
      <c r="F150" s="47">
        <f t="shared" si="2"/>
        <v>0.59999998564832135</v>
      </c>
      <c r="G150" s="4" t="s">
        <v>336</v>
      </c>
      <c r="H150" s="4" t="s">
        <v>337</v>
      </c>
      <c r="I150" s="4">
        <v>2025</v>
      </c>
      <c r="J150" s="12" t="s">
        <v>119</v>
      </c>
    </row>
    <row r="151" spans="1:10" x14ac:dyDescent="0.35">
      <c r="A151" s="13" t="s">
        <v>299</v>
      </c>
      <c r="B151" s="5">
        <v>12670125</v>
      </c>
      <c r="C151" s="5" t="s">
        <v>528</v>
      </c>
      <c r="D151" s="5">
        <v>63500</v>
      </c>
      <c r="E151" s="5">
        <v>127000</v>
      </c>
      <c r="F151" s="49">
        <f t="shared" si="2"/>
        <v>0.5</v>
      </c>
      <c r="G151" s="5" t="s">
        <v>336</v>
      </c>
      <c r="H151" s="5" t="s">
        <v>337</v>
      </c>
      <c r="I151" s="5">
        <v>2023</v>
      </c>
      <c r="J151" s="7" t="s">
        <v>298</v>
      </c>
    </row>
    <row r="152" spans="1:10" x14ac:dyDescent="0.35">
      <c r="A152" s="11" t="s">
        <v>529</v>
      </c>
      <c r="B152" s="4">
        <v>12788418</v>
      </c>
      <c r="C152" s="4" t="s">
        <v>530</v>
      </c>
      <c r="D152" s="4">
        <v>190000</v>
      </c>
      <c r="E152" s="4">
        <v>380000</v>
      </c>
      <c r="F152" s="47">
        <f t="shared" si="2"/>
        <v>0.5</v>
      </c>
      <c r="G152" s="4" t="s">
        <v>336</v>
      </c>
      <c r="H152" s="4" t="s">
        <v>337</v>
      </c>
      <c r="I152" s="4">
        <v>2023</v>
      </c>
      <c r="J152" s="12" t="s">
        <v>592</v>
      </c>
    </row>
    <row r="153" spans="1:10" x14ac:dyDescent="0.35">
      <c r="A153" s="13" t="s">
        <v>123</v>
      </c>
      <c r="B153" s="5">
        <v>14168513</v>
      </c>
      <c r="C153" s="5" t="s">
        <v>531</v>
      </c>
      <c r="D153" s="5">
        <v>19750</v>
      </c>
      <c r="E153" s="5">
        <v>39500</v>
      </c>
      <c r="F153" s="49">
        <f t="shared" si="2"/>
        <v>0.5</v>
      </c>
      <c r="G153" s="5" t="s">
        <v>336</v>
      </c>
      <c r="H153" s="5" t="s">
        <v>337</v>
      </c>
      <c r="I153" s="5">
        <v>2025</v>
      </c>
      <c r="J153" s="7" t="s">
        <v>122</v>
      </c>
    </row>
    <row r="154" spans="1:10" x14ac:dyDescent="0.35">
      <c r="A154" s="11" t="s">
        <v>123</v>
      </c>
      <c r="B154" s="4">
        <v>14168513</v>
      </c>
      <c r="C154" s="4" t="s">
        <v>532</v>
      </c>
      <c r="D154" s="4">
        <v>7500</v>
      </c>
      <c r="E154" s="4">
        <v>25000</v>
      </c>
      <c r="F154" s="47">
        <f t="shared" si="2"/>
        <v>0.3</v>
      </c>
      <c r="G154" s="4" t="s">
        <v>336</v>
      </c>
      <c r="H154" s="4" t="s">
        <v>337</v>
      </c>
      <c r="I154" s="4">
        <v>2023</v>
      </c>
      <c r="J154" s="6" t="s">
        <v>630</v>
      </c>
    </row>
    <row r="155" spans="1:10" x14ac:dyDescent="0.35">
      <c r="A155" s="13" t="s">
        <v>176</v>
      </c>
      <c r="B155" s="5">
        <v>12013232</v>
      </c>
      <c r="C155" s="5" t="s">
        <v>533</v>
      </c>
      <c r="D155" s="5">
        <v>71215.460000000006</v>
      </c>
      <c r="E155" s="5">
        <v>142430.92000000001</v>
      </c>
      <c r="F155" s="49">
        <f t="shared" si="2"/>
        <v>0.5</v>
      </c>
      <c r="G155" s="5" t="s">
        <v>336</v>
      </c>
      <c r="H155" s="5" t="s">
        <v>337</v>
      </c>
      <c r="I155" s="5">
        <v>2025</v>
      </c>
      <c r="J155" s="7" t="s">
        <v>175</v>
      </c>
    </row>
    <row r="156" spans="1:10" x14ac:dyDescent="0.35">
      <c r="A156" s="11" t="s">
        <v>534</v>
      </c>
      <c r="B156" s="4">
        <v>10019070</v>
      </c>
      <c r="C156" s="4" t="s">
        <v>535</v>
      </c>
      <c r="D156" s="4">
        <v>84000</v>
      </c>
      <c r="E156" s="4">
        <v>210000</v>
      </c>
      <c r="F156" s="47">
        <f t="shared" si="2"/>
        <v>0.4</v>
      </c>
      <c r="G156" s="4" t="s">
        <v>336</v>
      </c>
      <c r="H156" s="4" t="s">
        <v>337</v>
      </c>
      <c r="I156" s="4">
        <v>2023</v>
      </c>
      <c r="J156" s="12" t="s">
        <v>602</v>
      </c>
    </row>
    <row r="157" spans="1:10" x14ac:dyDescent="0.35">
      <c r="A157" s="13" t="s">
        <v>92</v>
      </c>
      <c r="B157" s="5">
        <v>16483101</v>
      </c>
      <c r="C157" s="5" t="s">
        <v>536</v>
      </c>
      <c r="D157" s="5">
        <v>31000</v>
      </c>
      <c r="E157" s="5">
        <v>62000</v>
      </c>
      <c r="F157" s="49">
        <f t="shared" si="2"/>
        <v>0.5</v>
      </c>
      <c r="G157" s="5" t="s">
        <v>336</v>
      </c>
      <c r="H157" s="5" t="s">
        <v>337</v>
      </c>
      <c r="I157" s="5">
        <v>2025</v>
      </c>
      <c r="J157" s="7" t="s">
        <v>91</v>
      </c>
    </row>
    <row r="158" spans="1:10" x14ac:dyDescent="0.35">
      <c r="A158" s="11" t="s">
        <v>537</v>
      </c>
      <c r="B158" s="4">
        <v>11540030</v>
      </c>
      <c r="C158" s="4" t="s">
        <v>538</v>
      </c>
      <c r="D158" s="4">
        <v>12396</v>
      </c>
      <c r="E158" s="4">
        <v>30990</v>
      </c>
      <c r="F158" s="47">
        <f t="shared" si="2"/>
        <v>0.4</v>
      </c>
      <c r="G158" s="4" t="s">
        <v>336</v>
      </c>
      <c r="H158" s="4" t="s">
        <v>337</v>
      </c>
      <c r="I158" s="4">
        <v>2024</v>
      </c>
      <c r="J158" s="12" t="s">
        <v>562</v>
      </c>
    </row>
    <row r="159" spans="1:10" x14ac:dyDescent="0.35">
      <c r="A159" s="13" t="s">
        <v>203</v>
      </c>
      <c r="B159" s="5">
        <v>14986915</v>
      </c>
      <c r="C159" s="5" t="s">
        <v>539</v>
      </c>
      <c r="D159" s="5">
        <v>29375.599999999999</v>
      </c>
      <c r="E159" s="5">
        <v>73439</v>
      </c>
      <c r="F159" s="49">
        <f t="shared" si="2"/>
        <v>0.39999999999999997</v>
      </c>
      <c r="G159" s="5" t="s">
        <v>336</v>
      </c>
      <c r="H159" s="5" t="s">
        <v>337</v>
      </c>
      <c r="I159" s="5">
        <v>2024</v>
      </c>
      <c r="J159" s="7" t="s">
        <v>202</v>
      </c>
    </row>
    <row r="160" spans="1:10" x14ac:dyDescent="0.35">
      <c r="A160" s="11" t="s">
        <v>196</v>
      </c>
      <c r="B160" s="4">
        <v>10560579</v>
      </c>
      <c r="C160" s="4" t="s">
        <v>540</v>
      </c>
      <c r="D160" s="4">
        <v>36973.5</v>
      </c>
      <c r="E160" s="4">
        <v>73947</v>
      </c>
      <c r="F160" s="47">
        <f t="shared" si="2"/>
        <v>0.5</v>
      </c>
      <c r="G160" s="4" t="s">
        <v>336</v>
      </c>
      <c r="H160" s="4" t="s">
        <v>337</v>
      </c>
      <c r="I160" s="4">
        <v>2024</v>
      </c>
      <c r="J160" s="12" t="s">
        <v>268</v>
      </c>
    </row>
    <row r="161" spans="1:10" x14ac:dyDescent="0.35">
      <c r="A161" s="13" t="s">
        <v>196</v>
      </c>
      <c r="B161" s="5">
        <v>10560579</v>
      </c>
      <c r="C161" s="5" t="s">
        <v>541</v>
      </c>
      <c r="D161" s="5">
        <v>73333.33</v>
      </c>
      <c r="E161" s="5">
        <v>146666.66</v>
      </c>
      <c r="F161" s="49">
        <f t="shared" si="2"/>
        <v>0.5</v>
      </c>
      <c r="G161" s="5" t="s">
        <v>336</v>
      </c>
      <c r="H161" s="5" t="s">
        <v>337</v>
      </c>
      <c r="I161" s="5">
        <v>2024</v>
      </c>
      <c r="J161" s="7" t="s">
        <v>195</v>
      </c>
    </row>
    <row r="162" spans="1:10" x14ac:dyDescent="0.35">
      <c r="A162" s="11" t="s">
        <v>542</v>
      </c>
      <c r="B162" s="4">
        <v>10104002</v>
      </c>
      <c r="C162" s="4" t="s">
        <v>543</v>
      </c>
      <c r="D162" s="4">
        <v>360000</v>
      </c>
      <c r="E162" s="4">
        <v>900000</v>
      </c>
      <c r="F162" s="47">
        <f t="shared" si="2"/>
        <v>0.4</v>
      </c>
      <c r="G162" s="4" t="s">
        <v>336</v>
      </c>
      <c r="H162" s="4" t="s">
        <v>337</v>
      </c>
      <c r="I162" s="4">
        <v>2023</v>
      </c>
      <c r="J162" s="12" t="s">
        <v>600</v>
      </c>
    </row>
    <row r="163" spans="1:10" x14ac:dyDescent="0.35">
      <c r="A163" s="13" t="s">
        <v>193</v>
      </c>
      <c r="B163" s="5">
        <v>14641493</v>
      </c>
      <c r="C163" s="5" t="s">
        <v>544</v>
      </c>
      <c r="D163" s="5">
        <v>30644.45</v>
      </c>
      <c r="E163" s="5">
        <v>76611.13</v>
      </c>
      <c r="F163" s="49">
        <f t="shared" si="2"/>
        <v>0.39999997389413261</v>
      </c>
      <c r="G163" s="5" t="s">
        <v>336</v>
      </c>
      <c r="H163" s="5" t="s">
        <v>337</v>
      </c>
      <c r="I163" s="5">
        <v>2024</v>
      </c>
      <c r="J163" s="7" t="s">
        <v>192</v>
      </c>
    </row>
    <row r="164" spans="1:10" x14ac:dyDescent="0.35">
      <c r="A164" s="11" t="s">
        <v>154</v>
      </c>
      <c r="B164" s="4">
        <v>12035601</v>
      </c>
      <c r="C164" s="4" t="s">
        <v>545</v>
      </c>
      <c r="D164" s="4">
        <v>35250</v>
      </c>
      <c r="E164" s="4">
        <v>70500</v>
      </c>
      <c r="F164" s="47">
        <f t="shared" si="2"/>
        <v>0.5</v>
      </c>
      <c r="G164" s="4" t="s">
        <v>336</v>
      </c>
      <c r="H164" s="4" t="s">
        <v>337</v>
      </c>
      <c r="I164" s="4">
        <v>2025</v>
      </c>
      <c r="J164" s="12" t="s">
        <v>160</v>
      </c>
    </row>
    <row r="165" spans="1:10" x14ac:dyDescent="0.35">
      <c r="A165" s="13" t="s">
        <v>154</v>
      </c>
      <c r="B165" s="5">
        <v>12035601</v>
      </c>
      <c r="C165" s="5" t="s">
        <v>546</v>
      </c>
      <c r="D165" s="5">
        <v>34937.5</v>
      </c>
      <c r="E165" s="5">
        <v>69875</v>
      </c>
      <c r="F165" s="49">
        <f t="shared" si="2"/>
        <v>0.5</v>
      </c>
      <c r="G165" s="5" t="s">
        <v>336</v>
      </c>
      <c r="H165" s="5" t="s">
        <v>337</v>
      </c>
      <c r="I165" s="5">
        <v>2025</v>
      </c>
      <c r="J165" s="7" t="s">
        <v>153</v>
      </c>
    </row>
    <row r="166" spans="1:10" x14ac:dyDescent="0.35">
      <c r="A166" s="11" t="s">
        <v>222</v>
      </c>
      <c r="B166" s="4">
        <v>11218423</v>
      </c>
      <c r="C166" s="4" t="s">
        <v>547</v>
      </c>
      <c r="D166" s="4">
        <v>12215</v>
      </c>
      <c r="E166" s="4">
        <v>24430</v>
      </c>
      <c r="F166" s="47">
        <f t="shared" si="2"/>
        <v>0.5</v>
      </c>
      <c r="G166" s="4" t="s">
        <v>336</v>
      </c>
      <c r="H166" s="4" t="s">
        <v>337</v>
      </c>
      <c r="I166" s="4">
        <v>2024</v>
      </c>
      <c r="J166" s="12" t="s">
        <v>221</v>
      </c>
    </row>
    <row r="167" spans="1:10" x14ac:dyDescent="0.35">
      <c r="A167" s="13" t="s">
        <v>222</v>
      </c>
      <c r="B167" s="5">
        <v>11218423</v>
      </c>
      <c r="C167" s="5" t="s">
        <v>548</v>
      </c>
      <c r="D167" s="5">
        <v>18749.689999999999</v>
      </c>
      <c r="E167" s="5">
        <v>37499.370000000003</v>
      </c>
      <c r="F167" s="49">
        <f t="shared" si="2"/>
        <v>0.50000013333557325</v>
      </c>
      <c r="G167" s="5" t="s">
        <v>336</v>
      </c>
      <c r="H167" s="5" t="s">
        <v>337</v>
      </c>
      <c r="I167" s="5">
        <v>2023</v>
      </c>
      <c r="J167" s="7" t="s">
        <v>290</v>
      </c>
    </row>
    <row r="168" spans="1:10" x14ac:dyDescent="0.35">
      <c r="A168" s="15" t="s">
        <v>222</v>
      </c>
      <c r="B168" s="16">
        <v>11218423</v>
      </c>
      <c r="C168" s="16" t="s">
        <v>549</v>
      </c>
      <c r="D168" s="16">
        <v>13794.39</v>
      </c>
      <c r="E168" s="16">
        <v>27588.78</v>
      </c>
      <c r="F168" s="50">
        <f t="shared" si="2"/>
        <v>0.5</v>
      </c>
      <c r="G168" s="16" t="s">
        <v>336</v>
      </c>
      <c r="H168" s="16" t="s">
        <v>337</v>
      </c>
      <c r="I168" s="16">
        <v>2023</v>
      </c>
      <c r="J168" s="17" t="s">
        <v>308</v>
      </c>
    </row>
    <row r="169" spans="1:10" x14ac:dyDescent="0.35">
      <c r="D169" s="2">
        <f>SUM(D2:D168)</f>
        <v>14976404.539999997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2c528a1-b788-4fc5-a338-80565be079c8" xsi:nil="true"/>
    <lcf76f155ced4ddcb4097134ff3c332f xmlns="c913c1a7-b672-4f22-b89b-9c6f20b69b9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A6AA8092797140B5627FCDA3FB5A9B" ma:contentTypeVersion="13" ma:contentTypeDescription="Create a new document." ma:contentTypeScope="" ma:versionID="344057dda2b2be191d1b318726ad74d8">
  <xsd:schema xmlns:xsd="http://www.w3.org/2001/XMLSchema" xmlns:xs="http://www.w3.org/2001/XMLSchema" xmlns:p="http://schemas.microsoft.com/office/2006/metadata/properties" xmlns:ns2="c913c1a7-b672-4f22-b89b-9c6f20b69b9a" xmlns:ns3="a2c528a1-b788-4fc5-a338-80565be079c8" targetNamespace="http://schemas.microsoft.com/office/2006/metadata/properties" ma:root="true" ma:fieldsID="feaf6d1d31ccf3d0dd79cc34f39761ee" ns2:_="" ns3:_="">
    <xsd:import namespace="c913c1a7-b672-4f22-b89b-9c6f20b69b9a"/>
    <xsd:import namespace="a2c528a1-b788-4fc5-a338-80565be079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3c1a7-b672-4f22-b89b-9c6f20b69b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dd9eea0-9b4b-45df-b1c8-7c1a7863b02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528a1-b788-4fc5-a338-80565be079c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309b42c4-efa0-4023-bdf8-6d908d09b5e7}" ma:internalName="TaxCatchAll" ma:showField="CatchAllData" ma:web="a2c528a1-b788-4fc5-a338-80565be079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C0956E-107A-430E-91B8-19EE25D19FD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5AC9A8-1724-48A4-90BC-ECEDA132818F}">
  <ds:schemaRefs>
    <ds:schemaRef ds:uri="http://schemas.microsoft.com/office/2006/metadata/properties"/>
    <ds:schemaRef ds:uri="http://schemas.microsoft.com/office/infopath/2007/PartnerControls"/>
    <ds:schemaRef ds:uri="a2c528a1-b788-4fc5-a338-80565be079c8"/>
    <ds:schemaRef ds:uri="c913c1a7-b672-4f22-b89b-9c6f20b69b9a"/>
  </ds:schemaRefs>
</ds:datastoreItem>
</file>

<file path=customXml/itemProps3.xml><?xml version="1.0" encoding="utf-8"?>
<ds:datastoreItem xmlns:ds="http://schemas.openxmlformats.org/officeDocument/2006/customXml" ds:itemID="{2A5DF618-1F32-462A-B49D-275BEEC4CB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13c1a7-b672-4f22-b89b-9c6f20b69b9a"/>
    <ds:schemaRef ds:uri="a2c528a1-b788-4fc5-a338-80565be079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Kokkuvõte</vt:lpstr>
      <vt:lpstr>Antud abi (kuud)</vt:lpstr>
      <vt:lpstr>Keskmine toetus (kuud)</vt:lpstr>
      <vt:lpstr>Toetatud projektid (kuud)</vt:lpstr>
      <vt:lpstr>Energiatoodang</vt:lpstr>
      <vt:lpstr>RTK andmebaas</vt:lpstr>
      <vt:lpstr>EIS andmebaas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Maarja Metstak</cp:lastModifiedBy>
  <dcterms:created xsi:type="dcterms:W3CDTF">2025-05-26T07:35:39Z</dcterms:created>
  <dcterms:modified xsi:type="dcterms:W3CDTF">2025-05-29T14:42:31Z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0x010100D9A6AA8092797140B5627FCDA3FB5A9B</vt:lpwstr>
  </property>
  <property fmtid="{D5CDD505-2E9C-101B-9397-08002B2CF9AE}" pid="3" name="MediaServiceImageTags">
    <vt:lpwstr/>
  </property>
</Properties>
</file>